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260" windowHeight="8325"/>
  </bookViews>
  <sheets>
    <sheet name="Calculation" sheetId="9" r:id="rId1"/>
    <sheet name="Values" sheetId="8" r:id="rId2"/>
    <sheet name="Sample" sheetId="12" r:id="rId3"/>
  </sheets>
  <definedNames>
    <definedName name="Adjust_Asphalt" localSheetId="2">Sample!$F$10</definedName>
    <definedName name="Adjust_Asphalt">Calculation!$F$10</definedName>
    <definedName name="Adjust_Fuel" localSheetId="2">Sample!$F$26</definedName>
    <definedName name="Adjust_Fuel">Calculation!$F$26</definedName>
    <definedName name="BPI_Asphalt" localSheetId="2">Sample!$F$11</definedName>
    <definedName name="BPI_Asphalt">Calculation!$F$11</definedName>
    <definedName name="BPI_Fuel" localSheetId="2">Sample!$F$27</definedName>
    <definedName name="BPI_Fuel">Calculation!$F$27</definedName>
    <definedName name="Estimating">Values!$D$3</definedName>
    <definedName name="FUF">Values!$A$8:$E$21</definedName>
    <definedName name="No_payment">Values!$D$2</definedName>
    <definedName name="_xlnm.Print_Area" localSheetId="0">Calculation!$B$4:$G$96</definedName>
    <definedName name="_xlnm.Print_Area" localSheetId="2">Sample!$B$4:$G$96</definedName>
    <definedName name="_xlnm.Print_Titles" localSheetId="0">Calculation!$1:$3</definedName>
    <definedName name="_xlnm.Print_Titles" localSheetId="2">Sample!$1:$3</definedName>
    <definedName name="Round">Values!$D$4</definedName>
    <definedName name="Units" localSheetId="2">Sample!$F$6</definedName>
    <definedName name="Units">Calculation!$F$6</definedName>
  </definedNames>
  <calcPr calcId="125725"/>
</workbook>
</file>

<file path=xl/calcChain.xml><?xml version="1.0" encoding="utf-8"?>
<calcChain xmlns="http://schemas.openxmlformats.org/spreadsheetml/2006/main">
  <c r="D65" i="12"/>
  <c r="D65" i="9"/>
  <c r="C9" i="12"/>
  <c r="C10"/>
  <c r="E10"/>
  <c r="F10"/>
  <c r="G11"/>
  <c r="D15"/>
  <c r="F15"/>
  <c r="F16"/>
  <c r="G16"/>
  <c r="H16"/>
  <c r="F17"/>
  <c r="G17" s="1"/>
  <c r="H17"/>
  <c r="F18"/>
  <c r="G18" s="1"/>
  <c r="H18"/>
  <c r="F19"/>
  <c r="G19" s="1"/>
  <c r="H19"/>
  <c r="F20"/>
  <c r="G20"/>
  <c r="H20"/>
  <c r="F21"/>
  <c r="G21" s="1"/>
  <c r="H21"/>
  <c r="F22"/>
  <c r="G22" s="1"/>
  <c r="H22"/>
  <c r="C25"/>
  <c r="C26"/>
  <c r="E26"/>
  <c r="F26"/>
  <c r="D32"/>
  <c r="D33"/>
  <c r="D34"/>
  <c r="F34"/>
  <c r="G34"/>
  <c r="D35"/>
  <c r="F35"/>
  <c r="G35"/>
  <c r="D36"/>
  <c r="F36"/>
  <c r="G36"/>
  <c r="D37"/>
  <c r="F37"/>
  <c r="G37"/>
  <c r="D38"/>
  <c r="F38"/>
  <c r="G38"/>
  <c r="D39"/>
  <c r="F39"/>
  <c r="G39"/>
  <c r="D40"/>
  <c r="F40"/>
  <c r="G40"/>
  <c r="D41"/>
  <c r="F41"/>
  <c r="G41"/>
  <c r="D42"/>
  <c r="F42"/>
  <c r="G42"/>
  <c r="D43"/>
  <c r="D44"/>
  <c r="F44"/>
  <c r="G44"/>
  <c r="D45"/>
  <c r="F45"/>
  <c r="G45"/>
  <c r="D46"/>
  <c r="F46"/>
  <c r="G46"/>
  <c r="D47"/>
  <c r="F47"/>
  <c r="G47"/>
  <c r="D48"/>
  <c r="F48"/>
  <c r="G48"/>
  <c r="D49"/>
  <c r="F49"/>
  <c r="G49"/>
  <c r="D50"/>
  <c r="F50"/>
  <c r="G50"/>
  <c r="D51"/>
  <c r="F51"/>
  <c r="G51"/>
  <c r="D52"/>
  <c r="D53"/>
  <c r="F53"/>
  <c r="G53"/>
  <c r="D54"/>
  <c r="F54"/>
  <c r="G54"/>
  <c r="D55"/>
  <c r="D56"/>
  <c r="F56"/>
  <c r="G56"/>
  <c r="D57"/>
  <c r="F57"/>
  <c r="G57"/>
  <c r="D58"/>
  <c r="F58"/>
  <c r="G58"/>
  <c r="D59"/>
  <c r="F59"/>
  <c r="G59"/>
  <c r="D60"/>
  <c r="F60"/>
  <c r="G60"/>
  <c r="D61"/>
  <c r="D62"/>
  <c r="F62"/>
  <c r="G62"/>
  <c r="D63"/>
  <c r="F63"/>
  <c r="G63"/>
  <c r="D64"/>
  <c r="F64"/>
  <c r="G64"/>
  <c r="B65"/>
  <c r="E65"/>
  <c r="G65"/>
  <c r="E66"/>
  <c r="G66"/>
  <c r="D67"/>
  <c r="D68"/>
  <c r="F68"/>
  <c r="G68"/>
  <c r="D69"/>
  <c r="F69"/>
  <c r="G69"/>
  <c r="D70"/>
  <c r="F70"/>
  <c r="G70"/>
  <c r="D71"/>
  <c r="D72"/>
  <c r="F72"/>
  <c r="G72"/>
  <c r="D73"/>
  <c r="F73"/>
  <c r="G73"/>
  <c r="D74"/>
  <c r="D75"/>
  <c r="F75"/>
  <c r="G75"/>
  <c r="D76"/>
  <c r="F76"/>
  <c r="G76"/>
  <c r="D77"/>
  <c r="D78"/>
  <c r="F78"/>
  <c r="G78"/>
  <c r="D79"/>
  <c r="F79"/>
  <c r="G79"/>
  <c r="D80"/>
  <c r="D81"/>
  <c r="F81"/>
  <c r="G81"/>
  <c r="D82"/>
  <c r="D83"/>
  <c r="F83"/>
  <c r="G83"/>
  <c r="D84"/>
  <c r="F84"/>
  <c r="G84"/>
  <c r="D85"/>
  <c r="D86"/>
  <c r="F86"/>
  <c r="G86"/>
  <c r="D87"/>
  <c r="D88"/>
  <c r="F88"/>
  <c r="G88"/>
  <c r="D89"/>
  <c r="D90"/>
  <c r="F90"/>
  <c r="G90"/>
  <c r="D91"/>
  <c r="F91"/>
  <c r="G91"/>
  <c r="G92" s="1"/>
  <c r="B93"/>
  <c r="B65" i="9"/>
  <c r="G66"/>
  <c r="G65"/>
  <c r="E66"/>
  <c r="E65"/>
  <c r="C25"/>
  <c r="C9"/>
  <c r="F26"/>
  <c r="D91"/>
  <c r="G91" s="1"/>
  <c r="D90"/>
  <c r="G90" s="1"/>
  <c r="D88"/>
  <c r="G88" s="1"/>
  <c r="D86"/>
  <c r="G86" s="1"/>
  <c r="D84"/>
  <c r="G84" s="1"/>
  <c r="D83"/>
  <c r="G83" s="1"/>
  <c r="D81"/>
  <c r="G81" s="1"/>
  <c r="D79"/>
  <c r="G79" s="1"/>
  <c r="D78"/>
  <c r="G78" s="1"/>
  <c r="D76"/>
  <c r="G76" s="1"/>
  <c r="D75"/>
  <c r="G75" s="1"/>
  <c r="D73"/>
  <c r="G73" s="1"/>
  <c r="D72"/>
  <c r="G72" s="1"/>
  <c r="D70"/>
  <c r="G70" s="1"/>
  <c r="D69"/>
  <c r="G69" s="1"/>
  <c r="D68"/>
  <c r="G68" s="1"/>
  <c r="D64"/>
  <c r="G64" s="1"/>
  <c r="D63"/>
  <c r="G63" s="1"/>
  <c r="D62"/>
  <c r="G62" s="1"/>
  <c r="D60"/>
  <c r="G60" s="1"/>
  <c r="D59"/>
  <c r="G59" s="1"/>
  <c r="D58"/>
  <c r="G58" s="1"/>
  <c r="D57"/>
  <c r="G57" s="1"/>
  <c r="D56"/>
  <c r="G56" s="1"/>
  <c r="D54"/>
  <c r="G54" s="1"/>
  <c r="D53"/>
  <c r="G53" s="1"/>
  <c r="D51"/>
  <c r="G51" s="1"/>
  <c r="D50"/>
  <c r="G50" s="1"/>
  <c r="D49"/>
  <c r="G49" s="1"/>
  <c r="D48"/>
  <c r="G48" s="1"/>
  <c r="D47"/>
  <c r="G47" s="1"/>
  <c r="D46"/>
  <c r="G46" s="1"/>
  <c r="D45"/>
  <c r="G45" s="1"/>
  <c r="D44"/>
  <c r="G44" s="1"/>
  <c r="D42"/>
  <c r="G42" s="1"/>
  <c r="D41"/>
  <c r="G41" s="1"/>
  <c r="D40"/>
  <c r="G40" s="1"/>
  <c r="D39"/>
  <c r="G39" s="1"/>
  <c r="D38"/>
  <c r="G38" s="1"/>
  <c r="D37"/>
  <c r="G37" s="1"/>
  <c r="D36"/>
  <c r="G36" s="1"/>
  <c r="D35"/>
  <c r="G35" s="1"/>
  <c r="D34"/>
  <c r="G34" s="1"/>
  <c r="G92" s="1"/>
  <c r="F10"/>
  <c r="F22"/>
  <c r="G22" s="1"/>
  <c r="F21"/>
  <c r="G21" s="1"/>
  <c r="F20"/>
  <c r="G20" s="1"/>
  <c r="F19"/>
  <c r="G19" s="1"/>
  <c r="F18"/>
  <c r="G18" s="1"/>
  <c r="F17"/>
  <c r="G17" s="1"/>
  <c r="F16"/>
  <c r="G16" s="1"/>
  <c r="G23" s="1"/>
  <c r="E26"/>
  <c r="C26"/>
  <c r="E10"/>
  <c r="C10"/>
  <c r="B93"/>
  <c r="D55"/>
  <c r="F90"/>
  <c r="F83"/>
  <c r="F78"/>
  <c r="F75"/>
  <c r="F72"/>
  <c r="F69"/>
  <c r="F68"/>
  <c r="F63"/>
  <c r="F62"/>
  <c r="F91"/>
  <c r="F88"/>
  <c r="F86"/>
  <c r="F84"/>
  <c r="F81"/>
  <c r="F79"/>
  <c r="F76"/>
  <c r="F73"/>
  <c r="F70"/>
  <c r="F64"/>
  <c r="D89"/>
  <c r="D87"/>
  <c r="D85"/>
  <c r="D82"/>
  <c r="D80"/>
  <c r="D77"/>
  <c r="D74"/>
  <c r="D71"/>
  <c r="D67"/>
  <c r="D61"/>
  <c r="F59"/>
  <c r="F58"/>
  <c r="F57"/>
  <c r="F60"/>
  <c r="F56"/>
  <c r="G11"/>
  <c r="F53"/>
  <c r="D52"/>
  <c r="F54"/>
  <c r="F51"/>
  <c r="F44"/>
  <c r="D43"/>
  <c r="F50"/>
  <c r="F49"/>
  <c r="F48"/>
  <c r="F47"/>
  <c r="F46"/>
  <c r="F45"/>
  <c r="D32"/>
  <c r="F35"/>
  <c r="F36"/>
  <c r="F37"/>
  <c r="F38"/>
  <c r="F39"/>
  <c r="F40"/>
  <c r="F41"/>
  <c r="F42"/>
  <c r="F15"/>
  <c r="H17"/>
  <c r="H18"/>
  <c r="H19"/>
  <c r="H20"/>
  <c r="H21"/>
  <c r="H22"/>
  <c r="H16"/>
  <c r="F34"/>
  <c r="D33"/>
  <c r="D15"/>
  <c r="F95" l="1"/>
  <c r="G23" i="12"/>
  <c r="F95" s="1"/>
</calcChain>
</file>

<file path=xl/sharedStrings.xml><?xml version="1.0" encoding="utf-8"?>
<sst xmlns="http://schemas.openxmlformats.org/spreadsheetml/2006/main" count="266" uniqueCount="120">
  <si>
    <t>20401 Roadway excavation</t>
  </si>
  <si>
    <t>Product</t>
  </si>
  <si>
    <t>Asphalt</t>
  </si>
  <si>
    <t>40101 Superpave pavement</t>
  </si>
  <si>
    <t>gal/ton</t>
  </si>
  <si>
    <t>Asphalt binder</t>
  </si>
  <si>
    <t>Pay Items</t>
  </si>
  <si>
    <t>Section 204 – Excavation and Embankment</t>
  </si>
  <si>
    <t>20402 Subexcavation</t>
  </si>
  <si>
    <t>20403 Unclassified borrow</t>
  </si>
  <si>
    <t>20410 Select borrow</t>
  </si>
  <si>
    <t>20411 Select borrow</t>
  </si>
  <si>
    <t>20415 Select topping</t>
  </si>
  <si>
    <t>20416 Select topping</t>
  </si>
  <si>
    <t>20420 Embankment construction</t>
  </si>
  <si>
    <t>20421 Rock excavation</t>
  </si>
  <si>
    <t>Section 301 – Untreated Aggregate Courses</t>
  </si>
  <si>
    <t>30101 Aggregate base</t>
  </si>
  <si>
    <r>
      <t>30102 Aggregate base</t>
    </r>
    <r>
      <rPr>
        <vertAlign val="superscript"/>
        <sz val="10"/>
        <rFont val="Times New Roman"/>
        <family val="1"/>
      </rPr>
      <t>(1)</t>
    </r>
  </si>
  <si>
    <r>
      <t>30103 Aggregate base</t>
    </r>
    <r>
      <rPr>
        <vertAlign val="superscript"/>
        <sz val="10"/>
        <rFont val="Times New Roman"/>
        <family val="1"/>
      </rPr>
      <t>(1)</t>
    </r>
  </si>
  <si>
    <t>30105 Subbase</t>
  </si>
  <si>
    <r>
      <t>30106 Subbase</t>
    </r>
    <r>
      <rPr>
        <vertAlign val="superscript"/>
        <sz val="10"/>
        <rFont val="Times New Roman"/>
        <family val="1"/>
      </rPr>
      <t>(1)</t>
    </r>
  </si>
  <si>
    <r>
      <t>30107 Subbase</t>
    </r>
    <r>
      <rPr>
        <vertAlign val="superscript"/>
        <sz val="10"/>
        <rFont val="Times New Roman"/>
        <family val="1"/>
      </rPr>
      <t>(1)</t>
    </r>
  </si>
  <si>
    <t>30110 Aggregate Surface Course</t>
  </si>
  <si>
    <r>
      <t>30111 Aggregate Surface Course</t>
    </r>
    <r>
      <rPr>
        <vertAlign val="superscript"/>
        <sz val="10"/>
        <rFont val="Times New Roman"/>
        <family val="1"/>
      </rPr>
      <t>(1)</t>
    </r>
  </si>
  <si>
    <t>Section 302 – Treated Aggregate Courses</t>
  </si>
  <si>
    <t>30201 Treated aggregate course</t>
  </si>
  <si>
    <r>
      <t>30202 Treated aggregate course</t>
    </r>
    <r>
      <rPr>
        <vertAlign val="superscript"/>
        <sz val="10"/>
        <rFont val="Times New Roman"/>
        <family val="1"/>
      </rPr>
      <t>(1)</t>
    </r>
  </si>
  <si>
    <t>Section 304 – Aggregate Stabilization</t>
  </si>
  <si>
    <t>30401 Aggregate stabilization imported aggregate</t>
  </si>
  <si>
    <r>
      <t>30405 Aggregate stabilization in-place aggregate</t>
    </r>
    <r>
      <rPr>
        <vertAlign val="superscript"/>
        <sz val="10"/>
        <rFont val="Times New Roman"/>
        <family val="1"/>
      </rPr>
      <t>(1)</t>
    </r>
  </si>
  <si>
    <t>Section 309 – Emulsified Asphalt Treated Base Course</t>
  </si>
  <si>
    <t>30901 Emulsified asphalt treated aggregate base</t>
  </si>
  <si>
    <r>
      <t>30902 Emulsified asphalt treated aggregate base</t>
    </r>
    <r>
      <rPr>
        <vertAlign val="superscript"/>
        <sz val="10"/>
        <rFont val="Times New Roman"/>
        <family val="1"/>
      </rPr>
      <t>(1)</t>
    </r>
  </si>
  <si>
    <r>
      <t>30903 Emulsified asphalt treated aggregate base</t>
    </r>
    <r>
      <rPr>
        <vertAlign val="superscript"/>
        <sz val="10"/>
        <rFont val="Times New Roman"/>
        <family val="1"/>
      </rPr>
      <t>(1)</t>
    </r>
  </si>
  <si>
    <t>Section 310 – Recycled Aggregate Course</t>
  </si>
  <si>
    <t>31001 Recycled aggregate base</t>
  </si>
  <si>
    <t>31002 Recycled aggregate subbase</t>
  </si>
  <si>
    <t>31003 Recycled aggregate surface</t>
  </si>
  <si>
    <t>Section 401 – Superpave Hot Asphalt Concrete Pavement</t>
  </si>
  <si>
    <t>40102 Superpave pavement wedge and leveling course</t>
  </si>
  <si>
    <t>Section 402 – Hot Asphalt Concrete Pavement by Hveem or Marshall Mix Design Method</t>
  </si>
  <si>
    <t>40201 Hot asphalt concrete pavement, Marshall or Hveem test</t>
  </si>
  <si>
    <t>40202 Hot asphalt concrete pavement, Marshall or Hveem test, wedge and leveling course</t>
  </si>
  <si>
    <t>Section 403 – Hot Asphalt Concrete Pavement</t>
  </si>
  <si>
    <t>40301 Hot asphalt concrete pavement</t>
  </si>
  <si>
    <t>40302 Hot asphalt concrete pavement, wedge and leveling course</t>
  </si>
  <si>
    <t>Section 405 – Open-Graded Asphalt Friction Course</t>
  </si>
  <si>
    <t>40501 Open-graded asphalt friction course</t>
  </si>
  <si>
    <t>Section 408 – Cold Recycled Asphalt Base Course</t>
  </si>
  <si>
    <t>40801 Cold recycled asphalt base course</t>
  </si>
  <si>
    <r>
      <t>40802 Cold recycled asphalt base course</t>
    </r>
    <r>
      <rPr>
        <vertAlign val="superscript"/>
        <sz val="10"/>
        <rFont val="Times New Roman"/>
        <family val="1"/>
      </rPr>
      <t>(1)</t>
    </r>
  </si>
  <si>
    <t>Section 416 – Continuous Cold Recycled Asphalt Base Course</t>
  </si>
  <si>
    <t>41602 Continuous cold recycled asphalt base course</t>
  </si>
  <si>
    <t>Section 418 – Foamed Asphalt Stabilized Base Course (Added Section)</t>
  </si>
  <si>
    <t>41801 Foamed asphalt stabilized base course</t>
  </si>
  <si>
    <t>Section 501 – Rigid Pavement</t>
  </si>
  <si>
    <t>50101 Reinforced rigid pavement</t>
  </si>
  <si>
    <t>50102 Plain rigid pavement</t>
  </si>
  <si>
    <r>
      <t xml:space="preserve">(1)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The Government will convert pay item quantities to match Fuel Usage Factor units.</t>
    </r>
  </si>
  <si>
    <r>
      <t xml:space="preserve">BPI </t>
    </r>
    <r>
      <rPr>
        <sz val="10"/>
        <rFont val="Arial"/>
      </rPr>
      <t>=</t>
    </r>
  </si>
  <si>
    <t>40102 Superpave pavement, wedge and leveling course</t>
  </si>
  <si>
    <t>Pay Item Number and Description</t>
  </si>
  <si>
    <t>Q</t>
  </si>
  <si>
    <t>Estimated</t>
  </si>
  <si>
    <t>Quantity</t>
  </si>
  <si>
    <t>Contractor</t>
  </si>
  <si>
    <t>Payment</t>
  </si>
  <si>
    <t>Asphalt Adjustment Pay Items</t>
  </si>
  <si>
    <t>Fuel Adjustment Pay Items</t>
  </si>
  <si>
    <t>gal/m2</t>
  </si>
  <si>
    <t>gal/m3</t>
  </si>
  <si>
    <t>Assumed</t>
  </si>
  <si>
    <t>content</t>
  </si>
  <si>
    <t>(Dollar amount for Engineer's Estimate)</t>
  </si>
  <si>
    <t>Fuel Escalation Cost Worksheet</t>
  </si>
  <si>
    <t>Obtain current asphalt and fuel BPI for similar project location from:</t>
  </si>
  <si>
    <t>Input BPIs and estimated project quantities in highlighted cells.</t>
  </si>
  <si>
    <r>
      <t>30402 Aggregate stabilization imported aggregate</t>
    </r>
    <r>
      <rPr>
        <vertAlign val="superscript"/>
        <sz val="10"/>
        <rFont val="Times New Roman"/>
        <family val="1"/>
      </rPr>
      <t>(1)</t>
    </r>
  </si>
  <si>
    <r>
      <t>30410 Aggregate stabilization imported surface course aggregate</t>
    </r>
    <r>
      <rPr>
        <vertAlign val="superscript"/>
        <sz val="10"/>
        <rFont val="Times New Roman"/>
        <family val="1"/>
      </rPr>
      <t>(1)</t>
    </r>
  </si>
  <si>
    <r>
      <t>30411 Aggregate stabilization imported surface course aggregate</t>
    </r>
    <r>
      <rPr>
        <vertAlign val="superscript"/>
        <sz val="10"/>
        <rFont val="Times New Roman"/>
        <family val="1"/>
      </rPr>
      <t>(1)</t>
    </r>
  </si>
  <si>
    <t>gal/t</t>
  </si>
  <si>
    <t>gal/sqyd</t>
  </si>
  <si>
    <t>gal/cuyd</t>
  </si>
  <si>
    <t>US Customary</t>
  </si>
  <si>
    <t>Section</t>
  </si>
  <si>
    <t>Fuel Usage Factors (FUF)</t>
  </si>
  <si>
    <t>Metric Units</t>
  </si>
  <si>
    <t>US Customary Units</t>
  </si>
  <si>
    <t>204</t>
  </si>
  <si>
    <t>301</t>
  </si>
  <si>
    <t>302</t>
  </si>
  <si>
    <t>304</t>
  </si>
  <si>
    <t>309</t>
  </si>
  <si>
    <t>310</t>
  </si>
  <si>
    <t>401</t>
  </si>
  <si>
    <t>402</t>
  </si>
  <si>
    <t>403</t>
  </si>
  <si>
    <t>405</t>
  </si>
  <si>
    <t>408</t>
  </si>
  <si>
    <t>416</t>
  </si>
  <si>
    <t>418</t>
  </si>
  <si>
    <t>501</t>
  </si>
  <si>
    <t>Fuel</t>
  </si>
  <si>
    <t>Usage</t>
  </si>
  <si>
    <t xml:space="preserve">Estimated Cost for Asphalt Adjustment: </t>
  </si>
  <si>
    <t>Data from SCR Table 109-1</t>
  </si>
  <si>
    <t>FUF</t>
  </si>
  <si>
    <t>Estimated Quantity</t>
  </si>
  <si>
    <t xml:space="preserve">  &lt;=  Data from SCR Table 109-2</t>
  </si>
  <si>
    <t>$/gallon</t>
  </si>
  <si>
    <t xml:space="preserve">Estimated Cost for Fuel Adjustment: </t>
  </si>
  <si>
    <t xml:space="preserve">Total Fuel Escalation Cost  </t>
  </si>
  <si>
    <t>Values</t>
  </si>
  <si>
    <t>No Payment:</t>
  </si>
  <si>
    <t>Estimating Amount:</t>
  </si>
  <si>
    <t>Project Number</t>
  </si>
  <si>
    <t>Round payment to nearest:</t>
  </si>
  <si>
    <t>OR PFH 92-1(1), South Century Drive</t>
  </si>
  <si>
    <t>http://www.wfl.fhwa.dot.gov/resources/construction/escalation/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</si>
</sst>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\ General"/>
    <numFmt numFmtId="165" formatCode="@&quot; Units&quot;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</font>
    <font>
      <sz val="11"/>
      <name val="Arial"/>
    </font>
    <font>
      <sz val="12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3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thin">
        <color indexed="23"/>
      </right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0" fillId="0" borderId="0" xfId="0" applyFill="1"/>
    <xf numFmtId="2" fontId="0" fillId="0" borderId="0" xfId="0" applyNumberFormat="1" applyFill="1"/>
    <xf numFmtId="0" fontId="5" fillId="0" borderId="0" xfId="0" applyFont="1" applyFill="1"/>
    <xf numFmtId="2" fontId="0" fillId="0" borderId="2" xfId="0" applyNumberFormat="1" applyFill="1" applyBorder="1"/>
    <xf numFmtId="2" fontId="5" fillId="0" borderId="0" xfId="0" applyNumberFormat="1" applyFont="1" applyFill="1"/>
    <xf numFmtId="0" fontId="4" fillId="0" borderId="0" xfId="2" applyAlignment="1" applyProtection="1"/>
    <xf numFmtId="0" fontId="0" fillId="0" borderId="0" xfId="0" applyAlignment="1">
      <alignment horizontal="center"/>
    </xf>
    <xf numFmtId="44" fontId="1" fillId="0" borderId="3" xfId="1" applyBorder="1"/>
    <xf numFmtId="44" fontId="1" fillId="0" borderId="4" xfId="1" applyBorder="1"/>
    <xf numFmtId="0" fontId="0" fillId="0" borderId="5" xfId="0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4" fontId="1" fillId="0" borderId="11" xfId="1" applyBorder="1"/>
    <xf numFmtId="2" fontId="0" fillId="2" borderId="0" xfId="0" applyNumberFormat="1" applyFill="1" applyProtection="1">
      <protection locked="0"/>
    </xf>
    <xf numFmtId="0" fontId="0" fillId="0" borderId="0" xfId="0" applyAlignment="1">
      <alignment horizontal="centerContinuous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1" fillId="0" borderId="0" xfId="0" applyFont="1"/>
    <xf numFmtId="0" fontId="9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10" fillId="0" borderId="0" xfId="0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3" borderId="0" xfId="0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9" fillId="0" borderId="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2" xfId="0" applyNumberFormat="1" applyBorder="1"/>
    <xf numFmtId="0" fontId="0" fillId="0" borderId="0" xfId="0" applyBorder="1"/>
    <xf numFmtId="2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3" borderId="0" xfId="0" applyFill="1"/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0" fillId="2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>
      <alignment vertical="center"/>
    </xf>
    <xf numFmtId="0" fontId="0" fillId="2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>
      <alignment vertical="center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4" fontId="1" fillId="0" borderId="36" xfId="1" applyFill="1" applyBorder="1" applyAlignment="1">
      <alignment vertical="center"/>
    </xf>
    <xf numFmtId="44" fontId="1" fillId="0" borderId="4" xfId="1" applyFill="1" applyBorder="1" applyAlignment="1">
      <alignment vertical="center"/>
    </xf>
    <xf numFmtId="44" fontId="1" fillId="0" borderId="37" xfId="1" applyFill="1" applyBorder="1" applyAlignment="1">
      <alignment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0" fillId="2" borderId="40" xfId="0" applyFill="1" applyBorder="1" applyAlignment="1" applyProtection="1">
      <alignment vertical="center"/>
      <protection locked="0"/>
    </xf>
    <xf numFmtId="0" fontId="0" fillId="0" borderId="41" xfId="0" applyFill="1" applyBorder="1" applyAlignment="1">
      <alignment vertical="center"/>
    </xf>
    <xf numFmtId="44" fontId="1" fillId="0" borderId="11" xfId="1" applyFill="1" applyBorder="1" applyAlignment="1">
      <alignment vertical="center"/>
    </xf>
    <xf numFmtId="2" fontId="12" fillId="0" borderId="0" xfId="0" applyNumberFormat="1" applyFont="1"/>
    <xf numFmtId="0" fontId="12" fillId="0" borderId="42" xfId="0" applyFont="1" applyBorder="1" applyAlignment="1">
      <alignment wrapText="1"/>
    </xf>
    <xf numFmtId="0" fontId="0" fillId="0" borderId="26" xfId="0" applyFill="1" applyBorder="1"/>
    <xf numFmtId="2" fontId="10" fillId="0" borderId="0" xfId="0" applyNumberFormat="1" applyFont="1" applyFill="1" applyAlignment="1">
      <alignment horizontal="right"/>
    </xf>
    <xf numFmtId="0" fontId="6" fillId="0" borderId="2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44" xfId="0" applyFont="1" applyFill="1" applyBorder="1" applyAlignment="1">
      <alignment horizontal="right" vertical="center"/>
    </xf>
    <xf numFmtId="44" fontId="5" fillId="0" borderId="15" xfId="1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top" wrapText="1" indent="2"/>
    </xf>
    <xf numFmtId="0" fontId="2" fillId="0" borderId="0" xfId="0" applyFont="1" applyFill="1" applyAlignment="1">
      <alignment horizontal="left" vertical="top" indent="2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2" borderId="46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44" fontId="1" fillId="0" borderId="18" xfId="1" applyFill="1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27" xfId="0" applyBorder="1"/>
    <xf numFmtId="0" fontId="0" fillId="0" borderId="47" xfId="0" applyBorder="1" applyAlignment="1">
      <alignment horizontal="centerContinuous"/>
    </xf>
    <xf numFmtId="0" fontId="0" fillId="0" borderId="48" xfId="0" applyBorder="1"/>
    <xf numFmtId="0" fontId="0" fillId="0" borderId="49" xfId="0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2" fontId="5" fillId="0" borderId="0" xfId="0" applyNumberFormat="1" applyFont="1" applyAlignment="1">
      <alignment horizontal="center"/>
    </xf>
    <xf numFmtId="2" fontId="0" fillId="2" borderId="0" xfId="0" applyNumberFormat="1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7" fillId="0" borderId="24" xfId="0" applyFont="1" applyFill="1" applyBorder="1" applyAlignment="1">
      <alignment horizontal="centerContinuous" vertical="top" wrapText="1"/>
    </xf>
    <xf numFmtId="2" fontId="0" fillId="0" borderId="2" xfId="0" applyNumberFormat="1" applyBorder="1" applyAlignment="1">
      <alignment horizontal="centerContinuous"/>
    </xf>
    <xf numFmtId="0" fontId="7" fillId="0" borderId="51" xfId="0" applyFont="1" applyBorder="1" applyAlignment="1">
      <alignment horizontal="centerContinuous" vertical="top"/>
    </xf>
    <xf numFmtId="0" fontId="7" fillId="0" borderId="2" xfId="0" applyFont="1" applyBorder="1" applyAlignment="1">
      <alignment horizontal="centerContinuous" vertical="top"/>
    </xf>
    <xf numFmtId="0" fontId="6" fillId="0" borderId="24" xfId="0" applyFont="1" applyFill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44" fontId="10" fillId="4" borderId="0" xfId="0" applyNumberFormat="1" applyFont="1" applyFill="1" applyAlignment="1"/>
    <xf numFmtId="0" fontId="0" fillId="0" borderId="0" xfId="0" applyAlignment="1"/>
    <xf numFmtId="0" fontId="2" fillId="0" borderId="25" xfId="0" applyFont="1" applyFill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165" fontId="9" fillId="5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6" borderId="0" xfId="0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50" xfId="0" applyFont="1" applyFill="1" applyBorder="1" applyAlignment="1">
      <alignment vertical="center" wrapText="1"/>
    </xf>
    <xf numFmtId="0" fontId="2" fillId="0" borderId="43" xfId="0" applyFont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4">
    <dxf>
      <fill>
        <patternFill>
          <bgColor indexed="31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fl.fhwa.dot.gov/resources/construction/escalatio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fl.fhwa.dot.gov/resources/construction/esca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H96"/>
  <sheetViews>
    <sheetView showGridLines="0" tabSelected="1" workbookViewId="0">
      <selection activeCell="F11" sqref="F11"/>
    </sheetView>
  </sheetViews>
  <sheetFormatPr defaultColWidth="9.7109375" defaultRowHeight="12.75"/>
  <cols>
    <col min="2" max="2" width="40.7109375" customWidth="1"/>
    <col min="3" max="3" width="8.7109375" style="3" customWidth="1"/>
    <col min="4" max="6" width="9.7109375" customWidth="1"/>
    <col min="7" max="7" width="15.7109375" customWidth="1"/>
  </cols>
  <sheetData>
    <row r="1" spans="2:8" ht="15.75">
      <c r="B1" s="31" t="s">
        <v>75</v>
      </c>
      <c r="C1" s="32"/>
      <c r="D1" s="23"/>
      <c r="E1" s="23"/>
      <c r="F1" s="23"/>
      <c r="G1" s="23"/>
    </row>
    <row r="2" spans="2:8" ht="15">
      <c r="B2" s="114" t="s">
        <v>116</v>
      </c>
      <c r="C2" s="115"/>
      <c r="D2" s="115"/>
      <c r="E2" s="115"/>
      <c r="F2" s="115"/>
      <c r="G2" s="115"/>
    </row>
    <row r="4" spans="2:8">
      <c r="B4" t="s">
        <v>76</v>
      </c>
    </row>
    <row r="5" spans="2:8">
      <c r="B5" s="10" t="s">
        <v>119</v>
      </c>
    </row>
    <row r="6" spans="2:8">
      <c r="F6" s="112" t="s">
        <v>84</v>
      </c>
      <c r="G6" s="113"/>
    </row>
    <row r="7" spans="2:8">
      <c r="B7" t="s">
        <v>77</v>
      </c>
    </row>
    <row r="8" spans="2:8">
      <c r="D8" s="7"/>
    </row>
    <row r="9" spans="2:8">
      <c r="C9" s="5" t="str">
        <f>"Contractor payment = (MPPI/BPI - "&amp;TEXT(No_payment,"0.00")&amp;")(BPI)(Q)"</f>
        <v>Contractor payment = (MPPI/BPI - 1.10)(BPI)(Q)</v>
      </c>
    </row>
    <row r="10" spans="2:8">
      <c r="C10" s="97" t="str">
        <f>"(MPPI/BPI – "&amp;TEXT(No_payment,"0.00")&amp;")"</f>
        <v>(MPPI/BPI – 1.10)</v>
      </c>
      <c r="E10" s="96" t="str">
        <f>"= ("&amp;TEXT(Estimating,"0.00")&amp;" – "&amp;TEXT(No_payment,"0.00")&amp;") ="</f>
        <v>= (1.30 – 1.10) =</v>
      </c>
      <c r="F10" s="3">
        <f>Estimating-No_payment</f>
        <v>0.19999999999999996</v>
      </c>
    </row>
    <row r="11" spans="2:8">
      <c r="E11" s="20" t="s">
        <v>60</v>
      </c>
      <c r="F11" s="22"/>
      <c r="G11" t="str">
        <f>"$/"&amp;IF(Units="Metric","Metric ton","ton")</f>
        <v>$/ton</v>
      </c>
    </row>
    <row r="12" spans="2:8">
      <c r="D12" s="7"/>
    </row>
    <row r="13" spans="2:8" ht="15" thickBot="1">
      <c r="B13" s="33" t="s">
        <v>106</v>
      </c>
      <c r="C13" s="34"/>
      <c r="D13" s="19" t="s">
        <v>64</v>
      </c>
      <c r="E13" s="14" t="s">
        <v>72</v>
      </c>
      <c r="F13" s="14" t="s">
        <v>65</v>
      </c>
      <c r="G13" s="36"/>
    </row>
    <row r="14" spans="2:8" ht="15" thickBot="1">
      <c r="B14" s="102" t="s">
        <v>68</v>
      </c>
      <c r="C14" s="103"/>
      <c r="D14" s="15" t="s">
        <v>65</v>
      </c>
      <c r="E14" s="16" t="s">
        <v>2</v>
      </c>
      <c r="F14" s="35" t="s">
        <v>63</v>
      </c>
      <c r="G14" s="37" t="s">
        <v>66</v>
      </c>
    </row>
    <row r="15" spans="2:8" ht="13.5" thickBot="1">
      <c r="B15" s="1" t="s">
        <v>62</v>
      </c>
      <c r="C15" s="1" t="s">
        <v>1</v>
      </c>
      <c r="D15" s="17" t="str">
        <f>"("&amp;IF(Units="Metric","t","ton")&amp;")"</f>
        <v>(ton)</v>
      </c>
      <c r="E15" s="18" t="s">
        <v>73</v>
      </c>
      <c r="F15" s="28" t="str">
        <f>"("&amp;IF(Units="Metric","t","ton")&amp;")"</f>
        <v>(ton)</v>
      </c>
      <c r="G15" s="38" t="s">
        <v>67</v>
      </c>
    </row>
    <row r="16" spans="2:8" ht="26.25" thickBot="1">
      <c r="B16" s="2" t="s">
        <v>3</v>
      </c>
      <c r="C16" s="4" t="s">
        <v>5</v>
      </c>
      <c r="D16" s="40"/>
      <c r="E16" s="24">
        <v>0.06</v>
      </c>
      <c r="F16" s="43">
        <f>D16*E16</f>
        <v>0</v>
      </c>
      <c r="G16" s="12">
        <f t="shared" ref="G16:G22" si="0">MROUND(Adjust_Asphalt*BPI_Asphalt*F16,Round)</f>
        <v>0</v>
      </c>
      <c r="H16" s="27" t="str">
        <f t="shared" ref="H16:H22" si="1">IF(E16&lt;&gt;0.06,"Asphalt content normally set to 0.06","")</f>
        <v/>
      </c>
    </row>
    <row r="17" spans="2:8" ht="26.25" thickBot="1">
      <c r="B17" s="2" t="s">
        <v>61</v>
      </c>
      <c r="C17" s="4" t="s">
        <v>5</v>
      </c>
      <c r="D17" s="41"/>
      <c r="E17" s="25">
        <v>0.06</v>
      </c>
      <c r="F17" s="44">
        <f t="shared" ref="F17:F22" si="2">D17*E17</f>
        <v>0</v>
      </c>
      <c r="G17" s="13">
        <f t="shared" si="0"/>
        <v>0</v>
      </c>
      <c r="H17" s="27" t="str">
        <f t="shared" si="1"/>
        <v/>
      </c>
    </row>
    <row r="18" spans="2:8" ht="26.25" thickBot="1">
      <c r="B18" s="2" t="s">
        <v>42</v>
      </c>
      <c r="C18" s="4" t="s">
        <v>5</v>
      </c>
      <c r="D18" s="41"/>
      <c r="E18" s="25">
        <v>0.06</v>
      </c>
      <c r="F18" s="44">
        <f t="shared" si="2"/>
        <v>0</v>
      </c>
      <c r="G18" s="13">
        <f t="shared" si="0"/>
        <v>0</v>
      </c>
      <c r="H18" s="27" t="str">
        <f t="shared" si="1"/>
        <v/>
      </c>
    </row>
    <row r="19" spans="2:8" ht="26.25" thickBot="1">
      <c r="B19" s="2" t="s">
        <v>43</v>
      </c>
      <c r="C19" s="4" t="s">
        <v>5</v>
      </c>
      <c r="D19" s="41"/>
      <c r="E19" s="25">
        <v>0.06</v>
      </c>
      <c r="F19" s="44">
        <f t="shared" si="2"/>
        <v>0</v>
      </c>
      <c r="G19" s="13">
        <f t="shared" si="0"/>
        <v>0</v>
      </c>
      <c r="H19" s="27" t="str">
        <f t="shared" si="1"/>
        <v/>
      </c>
    </row>
    <row r="20" spans="2:8" ht="26.25" thickBot="1">
      <c r="B20" s="2" t="s">
        <v>45</v>
      </c>
      <c r="C20" s="4" t="s">
        <v>5</v>
      </c>
      <c r="D20" s="41"/>
      <c r="E20" s="25">
        <v>0.06</v>
      </c>
      <c r="F20" s="44">
        <f t="shared" si="2"/>
        <v>0</v>
      </c>
      <c r="G20" s="13">
        <f t="shared" si="0"/>
        <v>0</v>
      </c>
      <c r="H20" s="27" t="str">
        <f t="shared" si="1"/>
        <v/>
      </c>
    </row>
    <row r="21" spans="2:8" ht="26.25" thickBot="1">
      <c r="B21" s="2" t="s">
        <v>46</v>
      </c>
      <c r="C21" s="4" t="s">
        <v>5</v>
      </c>
      <c r="D21" s="41"/>
      <c r="E21" s="25">
        <v>0.06</v>
      </c>
      <c r="F21" s="44">
        <f t="shared" si="2"/>
        <v>0</v>
      </c>
      <c r="G21" s="13">
        <f t="shared" si="0"/>
        <v>0</v>
      </c>
      <c r="H21" s="27" t="str">
        <f t="shared" si="1"/>
        <v/>
      </c>
    </row>
    <row r="22" spans="2:8" ht="26.25" thickBot="1">
      <c r="B22" s="2" t="s">
        <v>48</v>
      </c>
      <c r="C22" s="4" t="s">
        <v>5</v>
      </c>
      <c r="D22" s="42"/>
      <c r="E22" s="26">
        <v>0.06</v>
      </c>
      <c r="F22" s="45">
        <f t="shared" si="2"/>
        <v>0</v>
      </c>
      <c r="G22" s="21">
        <f t="shared" si="0"/>
        <v>0</v>
      </c>
      <c r="H22" s="27" t="str">
        <f t="shared" si="1"/>
        <v/>
      </c>
    </row>
    <row r="23" spans="2:8" ht="24" customHeight="1" thickTop="1" thickBot="1">
      <c r="F23" s="29" t="s">
        <v>105</v>
      </c>
      <c r="G23" s="30">
        <f>SUM(G16:G22)</f>
        <v>0</v>
      </c>
    </row>
    <row r="24" spans="2:8" ht="13.5" thickTop="1"/>
    <row r="25" spans="2:8">
      <c r="C25" s="5" t="str">
        <f>"Contractor payment = (MPPI/BPI - "&amp;TEXT(No_payment,"0.00")&amp;")(BPI)(Q)(FUF)"</f>
        <v>Contractor payment = (MPPI/BPI - 1.10)(BPI)(Q)(FUF)</v>
      </c>
      <c r="D25" s="5"/>
      <c r="E25" s="5"/>
      <c r="F25" s="5"/>
    </row>
    <row r="26" spans="2:8">
      <c r="C26" s="97" t="str">
        <f>"(MPPI/BPI – "&amp;TEXT(No_payment,"0.00")&amp;")"</f>
        <v>(MPPI/BPI – 1.10)</v>
      </c>
      <c r="E26" s="96" t="str">
        <f>"= ("&amp;TEXT(Estimating,"0.00")&amp;" – "&amp;TEXT(No_payment,"0.00")&amp;") ="</f>
        <v>= (1.30 – 1.10) =</v>
      </c>
      <c r="F26" s="3">
        <f>Estimating-No_payment</f>
        <v>0.19999999999999996</v>
      </c>
    </row>
    <row r="27" spans="2:8" ht="13.5" thickBot="1">
      <c r="D27" s="5"/>
      <c r="E27" s="20" t="s">
        <v>60</v>
      </c>
      <c r="F27" s="22"/>
      <c r="G27" t="s">
        <v>110</v>
      </c>
    </row>
    <row r="28" spans="2:8" ht="15" thickBot="1">
      <c r="B28" s="100" t="s">
        <v>69</v>
      </c>
      <c r="C28" s="101"/>
      <c r="D28" s="8"/>
    </row>
    <row r="29" spans="2:8">
      <c r="B29" s="49"/>
      <c r="C29" s="46"/>
      <c r="D29" s="78" t="s">
        <v>107</v>
      </c>
      <c r="E29" s="56" t="s">
        <v>109</v>
      </c>
      <c r="F29" s="56"/>
      <c r="G29" s="56"/>
    </row>
    <row r="30" spans="2:8">
      <c r="B30" s="122" t="s">
        <v>6</v>
      </c>
      <c r="C30" s="123"/>
      <c r="D30" s="79" t="s">
        <v>103</v>
      </c>
    </row>
    <row r="31" spans="2:8">
      <c r="B31" s="124"/>
      <c r="C31" s="123"/>
      <c r="D31" s="79" t="s">
        <v>104</v>
      </c>
      <c r="E31" s="51" t="s">
        <v>108</v>
      </c>
      <c r="F31" s="54"/>
      <c r="G31" s="36" t="s">
        <v>66</v>
      </c>
    </row>
    <row r="32" spans="2:8" ht="13.5" thickBot="1">
      <c r="B32" s="50"/>
      <c r="C32" s="48"/>
      <c r="D32" s="80" t="str">
        <f>"Factor"&amp;IF(Units="Metric"," (2)","")</f>
        <v>Factor</v>
      </c>
      <c r="E32" s="52" t="s">
        <v>63</v>
      </c>
      <c r="F32" s="55"/>
      <c r="G32" s="38" t="s">
        <v>67</v>
      </c>
    </row>
    <row r="33" spans="2:7" ht="15" customHeight="1">
      <c r="B33" s="125" t="s">
        <v>7</v>
      </c>
      <c r="C33" s="126"/>
      <c r="D33" s="69" t="str">
        <f>VLOOKUP(LEFT(SUBSTITUTE(B33,"Section ",""),3),FUF,3+IF(Units="Metric",0,2),0)</f>
        <v>gal/cuyd</v>
      </c>
      <c r="E33" s="57"/>
      <c r="F33" s="58"/>
      <c r="G33" s="65"/>
    </row>
    <row r="34" spans="2:7" ht="15" customHeight="1">
      <c r="B34" s="106" t="s">
        <v>0</v>
      </c>
      <c r="C34" s="107"/>
      <c r="D34" s="70">
        <f t="shared" ref="D34:D42" si="3">VLOOKUP(LEFT(B34,3),FUF,2+IF(Units="Metric",0,2),0)</f>
        <v>0.3</v>
      </c>
      <c r="E34" s="59"/>
      <c r="F34" s="60" t="str">
        <f t="shared" ref="F34:F42" si="4">REPLACE(VLOOKUP(LEFT(SUBSTITUTE(B34,"Section ",""),3),FUF,3+IF(Units="Metric",0,2),0),1,4,"")</f>
        <v>cuyd</v>
      </c>
      <c r="G34" s="66">
        <f t="shared" ref="G34:G42" si="5">MROUND(Adjust_Fuel*BPI_Fuel*E34*D34,Round)</f>
        <v>0</v>
      </c>
    </row>
    <row r="35" spans="2:7" ht="15" customHeight="1">
      <c r="B35" s="106" t="s">
        <v>8</v>
      </c>
      <c r="C35" s="107"/>
      <c r="D35" s="70">
        <f t="shared" si="3"/>
        <v>0.3</v>
      </c>
      <c r="E35" s="61"/>
      <c r="F35" s="62" t="str">
        <f t="shared" si="4"/>
        <v>cuyd</v>
      </c>
      <c r="G35" s="67">
        <f t="shared" si="5"/>
        <v>0</v>
      </c>
    </row>
    <row r="36" spans="2:7" ht="15" customHeight="1">
      <c r="B36" s="106" t="s">
        <v>9</v>
      </c>
      <c r="C36" s="107"/>
      <c r="D36" s="70">
        <f t="shared" si="3"/>
        <v>0.3</v>
      </c>
      <c r="E36" s="61"/>
      <c r="F36" s="62" t="str">
        <f t="shared" si="4"/>
        <v>cuyd</v>
      </c>
      <c r="G36" s="67">
        <f t="shared" si="5"/>
        <v>0</v>
      </c>
    </row>
    <row r="37" spans="2:7" ht="15" customHeight="1">
      <c r="B37" s="106" t="s">
        <v>10</v>
      </c>
      <c r="C37" s="107"/>
      <c r="D37" s="70">
        <f t="shared" si="3"/>
        <v>0.3</v>
      </c>
      <c r="E37" s="61"/>
      <c r="F37" s="62" t="str">
        <f t="shared" si="4"/>
        <v>cuyd</v>
      </c>
      <c r="G37" s="67">
        <f t="shared" si="5"/>
        <v>0</v>
      </c>
    </row>
    <row r="38" spans="2:7" ht="15" customHeight="1">
      <c r="B38" s="106" t="s">
        <v>11</v>
      </c>
      <c r="C38" s="107"/>
      <c r="D38" s="70">
        <f t="shared" si="3"/>
        <v>0.3</v>
      </c>
      <c r="E38" s="61"/>
      <c r="F38" s="62" t="str">
        <f t="shared" si="4"/>
        <v>cuyd</v>
      </c>
      <c r="G38" s="67">
        <f t="shared" si="5"/>
        <v>0</v>
      </c>
    </row>
    <row r="39" spans="2:7" ht="15" customHeight="1">
      <c r="B39" s="106" t="s">
        <v>12</v>
      </c>
      <c r="C39" s="107"/>
      <c r="D39" s="70">
        <f t="shared" si="3"/>
        <v>0.3</v>
      </c>
      <c r="E39" s="61"/>
      <c r="F39" s="62" t="str">
        <f t="shared" si="4"/>
        <v>cuyd</v>
      </c>
      <c r="G39" s="67">
        <f t="shared" si="5"/>
        <v>0</v>
      </c>
    </row>
    <row r="40" spans="2:7" ht="15" customHeight="1">
      <c r="B40" s="106" t="s">
        <v>13</v>
      </c>
      <c r="C40" s="107"/>
      <c r="D40" s="70">
        <f t="shared" si="3"/>
        <v>0.3</v>
      </c>
      <c r="E40" s="61"/>
      <c r="F40" s="62" t="str">
        <f t="shared" si="4"/>
        <v>cuyd</v>
      </c>
      <c r="G40" s="67">
        <f t="shared" si="5"/>
        <v>0</v>
      </c>
    </row>
    <row r="41" spans="2:7" ht="15" customHeight="1">
      <c r="B41" s="106" t="s">
        <v>14</v>
      </c>
      <c r="C41" s="107"/>
      <c r="D41" s="70">
        <f t="shared" si="3"/>
        <v>0.3</v>
      </c>
      <c r="E41" s="61"/>
      <c r="F41" s="62" t="str">
        <f t="shared" si="4"/>
        <v>cuyd</v>
      </c>
      <c r="G41" s="67">
        <f t="shared" si="5"/>
        <v>0</v>
      </c>
    </row>
    <row r="42" spans="2:7" ht="15" customHeight="1" thickBot="1">
      <c r="B42" s="106" t="s">
        <v>15</v>
      </c>
      <c r="C42" s="107"/>
      <c r="D42" s="70">
        <f t="shared" si="3"/>
        <v>0.3</v>
      </c>
      <c r="E42" s="63"/>
      <c r="F42" s="64" t="str">
        <f t="shared" si="4"/>
        <v>cuyd</v>
      </c>
      <c r="G42" s="68">
        <f t="shared" si="5"/>
        <v>0</v>
      </c>
    </row>
    <row r="43" spans="2:7" ht="15" customHeight="1">
      <c r="B43" s="104" t="s">
        <v>16</v>
      </c>
      <c r="C43" s="105"/>
      <c r="D43" s="69" t="str">
        <f>VLOOKUP(LEFT(SUBSTITUTE(B43,"Section ",""),3),FUF,3+IF(Units="Metric",0,2),0)</f>
        <v>gal/ton</v>
      </c>
      <c r="E43" s="57"/>
      <c r="F43" s="58"/>
      <c r="G43" s="65"/>
    </row>
    <row r="44" spans="2:7" ht="15" customHeight="1">
      <c r="B44" s="106" t="s">
        <v>17</v>
      </c>
      <c r="C44" s="107"/>
      <c r="D44" s="70">
        <f t="shared" ref="D44:D51" si="6">VLOOKUP(LEFT(B44,3),FUF,2+IF(Units="Metric",0,2),0)</f>
        <v>0.7</v>
      </c>
      <c r="E44" s="59"/>
      <c r="F44" s="60" t="str">
        <f t="shared" ref="F44:F51" si="7">REPLACE(VLOOKUP(LEFT(SUBSTITUTE(B44,"Section ",""),3),FUF,3+IF(Units="Metric",0,2),0),1,4,"")</f>
        <v>ton</v>
      </c>
      <c r="G44" s="66">
        <f t="shared" ref="G44:G51" si="8">MROUND(Adjust_Fuel*BPI_Fuel*E44*D44,Round)</f>
        <v>0</v>
      </c>
    </row>
    <row r="45" spans="2:7" ht="15" customHeight="1">
      <c r="B45" s="106" t="s">
        <v>18</v>
      </c>
      <c r="C45" s="107"/>
      <c r="D45" s="70">
        <f t="shared" si="6"/>
        <v>0.7</v>
      </c>
      <c r="E45" s="61"/>
      <c r="F45" s="62" t="str">
        <f t="shared" si="7"/>
        <v>ton</v>
      </c>
      <c r="G45" s="67">
        <f t="shared" si="8"/>
        <v>0</v>
      </c>
    </row>
    <row r="46" spans="2:7" ht="15" customHeight="1">
      <c r="B46" s="106" t="s">
        <v>19</v>
      </c>
      <c r="C46" s="107"/>
      <c r="D46" s="70">
        <f t="shared" si="6"/>
        <v>0.7</v>
      </c>
      <c r="E46" s="61"/>
      <c r="F46" s="62" t="str">
        <f t="shared" si="7"/>
        <v>ton</v>
      </c>
      <c r="G46" s="67">
        <f t="shared" si="8"/>
        <v>0</v>
      </c>
    </row>
    <row r="47" spans="2:7" ht="15" customHeight="1">
      <c r="B47" s="106" t="s">
        <v>20</v>
      </c>
      <c r="C47" s="107"/>
      <c r="D47" s="70">
        <f t="shared" si="6"/>
        <v>0.7</v>
      </c>
      <c r="E47" s="61"/>
      <c r="F47" s="62" t="str">
        <f t="shared" si="7"/>
        <v>ton</v>
      </c>
      <c r="G47" s="67">
        <f t="shared" si="8"/>
        <v>0</v>
      </c>
    </row>
    <row r="48" spans="2:7" ht="15" customHeight="1">
      <c r="B48" s="106" t="s">
        <v>21</v>
      </c>
      <c r="C48" s="107"/>
      <c r="D48" s="70">
        <f t="shared" si="6"/>
        <v>0.7</v>
      </c>
      <c r="E48" s="61"/>
      <c r="F48" s="62" t="str">
        <f t="shared" si="7"/>
        <v>ton</v>
      </c>
      <c r="G48" s="67">
        <f t="shared" si="8"/>
        <v>0</v>
      </c>
    </row>
    <row r="49" spans="2:7" ht="15" customHeight="1">
      <c r="B49" s="106" t="s">
        <v>22</v>
      </c>
      <c r="C49" s="107"/>
      <c r="D49" s="70">
        <f t="shared" si="6"/>
        <v>0.7</v>
      </c>
      <c r="E49" s="61"/>
      <c r="F49" s="62" t="str">
        <f t="shared" si="7"/>
        <v>ton</v>
      </c>
      <c r="G49" s="67">
        <f t="shared" si="8"/>
        <v>0</v>
      </c>
    </row>
    <row r="50" spans="2:7" ht="15" customHeight="1">
      <c r="B50" s="106" t="s">
        <v>23</v>
      </c>
      <c r="C50" s="107"/>
      <c r="D50" s="70">
        <f t="shared" si="6"/>
        <v>0.7</v>
      </c>
      <c r="E50" s="61"/>
      <c r="F50" s="62" t="str">
        <f t="shared" si="7"/>
        <v>ton</v>
      </c>
      <c r="G50" s="67">
        <f t="shared" si="8"/>
        <v>0</v>
      </c>
    </row>
    <row r="51" spans="2:7" ht="15" customHeight="1" thickBot="1">
      <c r="B51" s="106" t="s">
        <v>24</v>
      </c>
      <c r="C51" s="107"/>
      <c r="D51" s="70">
        <f t="shared" si="6"/>
        <v>0.7</v>
      </c>
      <c r="E51" s="63"/>
      <c r="F51" s="64" t="str">
        <f t="shared" si="7"/>
        <v>ton</v>
      </c>
      <c r="G51" s="68">
        <f t="shared" si="8"/>
        <v>0</v>
      </c>
    </row>
    <row r="52" spans="2:7" ht="15" customHeight="1">
      <c r="B52" s="104" t="s">
        <v>25</v>
      </c>
      <c r="C52" s="105"/>
      <c r="D52" s="69" t="str">
        <f>VLOOKUP(LEFT(SUBSTITUTE(B52,"Section ",""),3),FUF,3+IF(Units="Metric",0,2),0)</f>
        <v>gal/ton</v>
      </c>
      <c r="E52" s="57"/>
      <c r="F52" s="58"/>
      <c r="G52" s="65"/>
    </row>
    <row r="53" spans="2:7" ht="15" customHeight="1">
      <c r="B53" s="106" t="s">
        <v>26</v>
      </c>
      <c r="C53" s="107"/>
      <c r="D53" s="70">
        <f>VLOOKUP(LEFT(B53,3),FUF,2+IF(Units="Metric",0,2),0)</f>
        <v>0.7</v>
      </c>
      <c r="E53" s="59"/>
      <c r="F53" s="60" t="str">
        <f>REPLACE(VLOOKUP(LEFT(SUBSTITUTE(B53,"Section ",""),3),FUF,3+IF(Units="Metric",0,2),0),1,4,"")</f>
        <v>ton</v>
      </c>
      <c r="G53" s="66">
        <f>MROUND(Adjust_Fuel*BPI_Fuel*E53*D53,Round)</f>
        <v>0</v>
      </c>
    </row>
    <row r="54" spans="2:7" ht="15" customHeight="1" thickBot="1">
      <c r="B54" s="106" t="s">
        <v>27</v>
      </c>
      <c r="C54" s="107"/>
      <c r="D54" s="70">
        <f>VLOOKUP(LEFT(B54,3),FUF,2+IF(Units="Metric",0,2),0)</f>
        <v>0.7</v>
      </c>
      <c r="E54" s="63"/>
      <c r="F54" s="64" t="str">
        <f>REPLACE(VLOOKUP(LEFT(SUBSTITUTE(B54,"Section ",""),3),FUF,3+IF(Units="Metric",0,2),0),1,4,"")</f>
        <v>ton</v>
      </c>
      <c r="G54" s="68">
        <f>MROUND(Adjust_Fuel*BPI_Fuel*E54*D54,Round)</f>
        <v>0</v>
      </c>
    </row>
    <row r="55" spans="2:7" ht="15" customHeight="1">
      <c r="B55" s="104" t="s">
        <v>28</v>
      </c>
      <c r="C55" s="105"/>
      <c r="D55" s="69" t="str">
        <f>VLOOKUP(LEFT(SUBSTITUTE(B55,"Section ",""),3),FUF,3+IF(Units="Metric",0,2),0)</f>
        <v>gal/ton</v>
      </c>
      <c r="E55" s="57"/>
      <c r="F55" s="58"/>
      <c r="G55" s="65"/>
    </row>
    <row r="56" spans="2:7" ht="15" customHeight="1">
      <c r="B56" s="106" t="s">
        <v>29</v>
      </c>
      <c r="C56" s="107"/>
      <c r="D56" s="70">
        <f>VLOOKUP(LEFT(B56,3),FUF,2+IF(Units="Metric",0,2),0)</f>
        <v>0.7</v>
      </c>
      <c r="E56" s="59"/>
      <c r="F56" s="60" t="str">
        <f>REPLACE(VLOOKUP(LEFT(SUBSTITUTE(B56,"Section ",""),3),FUF,3+IF(Units="Metric",0,2),0),1,4,"")</f>
        <v>ton</v>
      </c>
      <c r="G56" s="66">
        <f>MROUND(Adjust_Fuel*BPI_Fuel*E56*D56,Round)</f>
        <v>0</v>
      </c>
    </row>
    <row r="57" spans="2:7" ht="15" customHeight="1">
      <c r="B57" s="106" t="s">
        <v>78</v>
      </c>
      <c r="C57" s="107"/>
      <c r="D57" s="70">
        <f>VLOOKUP(LEFT(B57,3),FUF,2+IF(Units="Metric",0,2),0)</f>
        <v>0.7</v>
      </c>
      <c r="E57" s="61"/>
      <c r="F57" s="62" t="str">
        <f>REPLACE(VLOOKUP(LEFT(SUBSTITUTE(B57,"Section ",""),3),FUF,3+IF(Units="Metric",0,2),0),1,4,"")</f>
        <v>ton</v>
      </c>
      <c r="G57" s="67">
        <f>MROUND(Adjust_Fuel*BPI_Fuel*E57*D57,Round)</f>
        <v>0</v>
      </c>
    </row>
    <row r="58" spans="2:7" ht="15" customHeight="1">
      <c r="B58" s="106" t="s">
        <v>30</v>
      </c>
      <c r="C58" s="107"/>
      <c r="D58" s="70">
        <f>VLOOKUP(LEFT(B58,3),FUF,2+IF(Units="Metric",0,2),0)</f>
        <v>0.7</v>
      </c>
      <c r="E58" s="61"/>
      <c r="F58" s="62" t="str">
        <f>REPLACE(VLOOKUP(LEFT(SUBSTITUTE(B58,"Section ",""),3),FUF,3+IF(Units="Metric",0,2),0),1,4,"")</f>
        <v>ton</v>
      </c>
      <c r="G58" s="67">
        <f>MROUND(Adjust_Fuel*BPI_Fuel*E58*D58,Round)</f>
        <v>0</v>
      </c>
    </row>
    <row r="59" spans="2:7" ht="30" customHeight="1">
      <c r="B59" s="106" t="s">
        <v>79</v>
      </c>
      <c r="C59" s="107"/>
      <c r="D59" s="70">
        <f>VLOOKUP(LEFT(B59,3),FUF,2+IF(Units="Metric",0,2),0)</f>
        <v>0.7</v>
      </c>
      <c r="E59" s="61"/>
      <c r="F59" s="62" t="str">
        <f>REPLACE(VLOOKUP(LEFT(SUBSTITUTE(B59,"Section ",""),3),FUF,3+IF(Units="Metric",0,2),0),1,4,"")</f>
        <v>ton</v>
      </c>
      <c r="G59" s="67">
        <f>MROUND(Adjust_Fuel*BPI_Fuel*E59*D59,Round)</f>
        <v>0</v>
      </c>
    </row>
    <row r="60" spans="2:7" ht="30" customHeight="1" thickBot="1">
      <c r="B60" s="106" t="s">
        <v>80</v>
      </c>
      <c r="C60" s="107"/>
      <c r="D60" s="70">
        <f>VLOOKUP(LEFT(B60,3),FUF,2+IF(Units="Metric",0,2),0)</f>
        <v>0.7</v>
      </c>
      <c r="E60" s="63"/>
      <c r="F60" s="64" t="str">
        <f>REPLACE(VLOOKUP(LEFT(SUBSTITUTE(B60,"Section ",""),3),FUF,3+IF(Units="Metric",0,2),0),1,4,"")</f>
        <v>ton</v>
      </c>
      <c r="G60" s="68">
        <f>MROUND(Adjust_Fuel*BPI_Fuel*E60*D60,Round)</f>
        <v>0</v>
      </c>
    </row>
    <row r="61" spans="2:7" ht="15" customHeight="1">
      <c r="B61" s="104" t="s">
        <v>31</v>
      </c>
      <c r="C61" s="105"/>
      <c r="D61" s="69" t="str">
        <f>VLOOKUP(LEFT(SUBSTITUTE(B61,"Section ",""),3),FUF,3+IF(Units="Metric",0,2),0)</f>
        <v>gal/ton</v>
      </c>
      <c r="E61" s="86"/>
      <c r="F61" s="58"/>
      <c r="G61" s="65"/>
    </row>
    <row r="62" spans="2:7" ht="15" customHeight="1">
      <c r="B62" s="106" t="s">
        <v>32</v>
      </c>
      <c r="C62" s="107"/>
      <c r="D62" s="70">
        <f>VLOOKUP(LEFT(B62,3),FUF,2+IF(Units="Metric",0,2),0)</f>
        <v>0.7</v>
      </c>
      <c r="E62" s="59"/>
      <c r="F62" s="60" t="str">
        <f>REPLACE(VLOOKUP(LEFT(SUBSTITUTE(B62,"Section ",""),3),FUF,3+IF(Units="Metric",0,2),0),1,4,"")</f>
        <v>ton</v>
      </c>
      <c r="G62" s="66">
        <f>MROUND(Adjust_Fuel*BPI_Fuel*E62*D62,Round)</f>
        <v>0</v>
      </c>
    </row>
    <row r="63" spans="2:7" ht="15" customHeight="1">
      <c r="B63" s="106" t="s">
        <v>33</v>
      </c>
      <c r="C63" s="107"/>
      <c r="D63" s="70">
        <f>VLOOKUP(LEFT(B63,3),FUF,2+IF(Units="Metric",0,2),0)</f>
        <v>0.7</v>
      </c>
      <c r="E63" s="61"/>
      <c r="F63" s="62" t="str">
        <f>REPLACE(VLOOKUP(LEFT(SUBSTITUTE(B63,"Section ",""),3),FUF,3+IF(Units="Metric",0,2),0),1,4,"")</f>
        <v>ton</v>
      </c>
      <c r="G63" s="67">
        <f>MROUND(Adjust_Fuel*BPI_Fuel*E63*D63,Round)</f>
        <v>0</v>
      </c>
    </row>
    <row r="64" spans="2:7" ht="15" customHeight="1" thickBot="1">
      <c r="B64" s="110" t="s">
        <v>34</v>
      </c>
      <c r="C64" s="111"/>
      <c r="D64" s="85">
        <f>VLOOKUP(LEFT(B64,3),FUF,2+IF(Units="Metric",0,2),0)</f>
        <v>0.7</v>
      </c>
      <c r="E64" s="63"/>
      <c r="F64" s="64" t="str">
        <f>REPLACE(VLOOKUP(LEFT(SUBSTITUTE(B64,"Section ",""),3),FUF,3+IF(Units="Metric",0,2),0),1,4,"")</f>
        <v>ton</v>
      </c>
      <c r="G64" s="68">
        <f>MROUND(Adjust_Fuel*BPI_Fuel*E64*D64,Round)</f>
        <v>0</v>
      </c>
    </row>
    <row r="65" spans="2:7" ht="15" customHeight="1">
      <c r="B65" s="116" t="str">
        <f>B30</f>
        <v>Pay Items</v>
      </c>
      <c r="C65" s="117"/>
      <c r="D65" s="120" t="str">
        <f>D29&amp;IF(Units="Metric"," (2)","")</f>
        <v>FUF</v>
      </c>
      <c r="E65" s="51" t="str">
        <f>E31</f>
        <v>Estimated Quantity</v>
      </c>
      <c r="F65" s="54"/>
      <c r="G65" s="36" t="str">
        <f>G31</f>
        <v>Contractor</v>
      </c>
    </row>
    <row r="66" spans="2:7" ht="15" customHeight="1" thickBot="1">
      <c r="B66" s="118"/>
      <c r="C66" s="119"/>
      <c r="D66" s="121"/>
      <c r="E66" s="52" t="str">
        <f>E32</f>
        <v>Q</v>
      </c>
      <c r="F66" s="55"/>
      <c r="G66" s="38" t="str">
        <f>G32</f>
        <v>Payment</v>
      </c>
    </row>
    <row r="67" spans="2:7" ht="15" customHeight="1">
      <c r="B67" s="104" t="s">
        <v>35</v>
      </c>
      <c r="C67" s="105"/>
      <c r="D67" s="69" t="str">
        <f>VLOOKUP(LEFT(SUBSTITUTE(B67,"Section ",""),3),FUF,3+IF(Units="Metric",0,2),0)</f>
        <v>gal/sqyd</v>
      </c>
      <c r="E67" s="86"/>
      <c r="F67" s="58"/>
      <c r="G67" s="65"/>
    </row>
    <row r="68" spans="2:7" ht="15" customHeight="1">
      <c r="B68" s="106" t="s">
        <v>36</v>
      </c>
      <c r="C68" s="107"/>
      <c r="D68" s="70">
        <f>VLOOKUP(LEFT(B68,3),FUF,2+IF(Units="Metric",0,2),0)</f>
        <v>0.1</v>
      </c>
      <c r="E68" s="59"/>
      <c r="F68" s="60" t="str">
        <f>REPLACE(VLOOKUP(LEFT(SUBSTITUTE(B68,"Section ",""),3),FUF,3+IF(Units="Metric",0,2),0),1,4,"")</f>
        <v>sqyd</v>
      </c>
      <c r="G68" s="66">
        <f>MROUND(Adjust_Fuel*BPI_Fuel*E68*D68,Round)</f>
        <v>0</v>
      </c>
    </row>
    <row r="69" spans="2:7" ht="15" customHeight="1">
      <c r="B69" s="106" t="s">
        <v>37</v>
      </c>
      <c r="C69" s="107"/>
      <c r="D69" s="70">
        <f>VLOOKUP(LEFT(B69,3),FUF,2+IF(Units="Metric",0,2),0)</f>
        <v>0.1</v>
      </c>
      <c r="E69" s="61"/>
      <c r="F69" s="62" t="str">
        <f>REPLACE(VLOOKUP(LEFT(SUBSTITUTE(B69,"Section ",""),3),FUF,3+IF(Units="Metric",0,2),0),1,4,"")</f>
        <v>sqyd</v>
      </c>
      <c r="G69" s="67">
        <f>MROUND(Adjust_Fuel*BPI_Fuel*E69*D69,Round)</f>
        <v>0</v>
      </c>
    </row>
    <row r="70" spans="2:7" ht="15" customHeight="1" thickBot="1">
      <c r="B70" s="110" t="s">
        <v>38</v>
      </c>
      <c r="C70" s="111"/>
      <c r="D70" s="85">
        <f>VLOOKUP(LEFT(B70,3),FUF,2+IF(Units="Metric",0,2),0)</f>
        <v>0.1</v>
      </c>
      <c r="E70" s="63"/>
      <c r="F70" s="64" t="str">
        <f>REPLACE(VLOOKUP(LEFT(SUBSTITUTE(B70,"Section ",""),3),FUF,3+IF(Units="Metric",0,2),0),1,4,"")</f>
        <v>sqyd</v>
      </c>
      <c r="G70" s="68">
        <f>MROUND(Adjust_Fuel*BPI_Fuel*E70*D70,Round)</f>
        <v>0</v>
      </c>
    </row>
    <row r="71" spans="2:7" ht="15" customHeight="1">
      <c r="B71" s="104" t="s">
        <v>39</v>
      </c>
      <c r="C71" s="105"/>
      <c r="D71" s="69" t="str">
        <f>VLOOKUP(LEFT(SUBSTITUTE(B71,"Section ",""),3),FUF,3+IF(Units="Metric",0,2),0)</f>
        <v>gal/ton</v>
      </c>
      <c r="E71" s="86"/>
      <c r="F71" s="58"/>
      <c r="G71" s="65"/>
    </row>
    <row r="72" spans="2:7" ht="15" customHeight="1">
      <c r="B72" s="106" t="s">
        <v>3</v>
      </c>
      <c r="C72" s="107"/>
      <c r="D72" s="70">
        <f>VLOOKUP(LEFT(B72,3),FUF,2+IF(Units="Metric",0,2),0)</f>
        <v>2.4</v>
      </c>
      <c r="E72" s="59"/>
      <c r="F72" s="60" t="str">
        <f>REPLACE(VLOOKUP(LEFT(SUBSTITUTE(B72,"Section ",""),3),FUF,3+IF(Units="Metric",0,2),0),1,4,"")</f>
        <v>ton</v>
      </c>
      <c r="G72" s="66">
        <f>MROUND(Adjust_Fuel*BPI_Fuel*E72*D72,Round)</f>
        <v>0</v>
      </c>
    </row>
    <row r="73" spans="2:7" ht="15" customHeight="1" thickBot="1">
      <c r="B73" s="106" t="s">
        <v>40</v>
      </c>
      <c r="C73" s="107"/>
      <c r="D73" s="70">
        <f>VLOOKUP(LEFT(B73,3),FUF,2+IF(Units="Metric",0,2),0)</f>
        <v>2.4</v>
      </c>
      <c r="E73" s="63"/>
      <c r="F73" s="64" t="str">
        <f>REPLACE(VLOOKUP(LEFT(SUBSTITUTE(B73,"Section ",""),3),FUF,3+IF(Units="Metric",0,2),0),1,4,"")</f>
        <v>ton</v>
      </c>
      <c r="G73" s="68">
        <f>MROUND(Adjust_Fuel*BPI_Fuel*E73*D73,Round)</f>
        <v>0</v>
      </c>
    </row>
    <row r="74" spans="2:7" ht="30" customHeight="1">
      <c r="B74" s="104" t="s">
        <v>41</v>
      </c>
      <c r="C74" s="105"/>
      <c r="D74" s="69" t="str">
        <f>VLOOKUP(LEFT(SUBSTITUTE(B74,"Section ",""),3),FUF,3+IF(Units="Metric",0,2),0)</f>
        <v>gal/ton</v>
      </c>
      <c r="E74" s="86"/>
      <c r="F74" s="58"/>
      <c r="G74" s="65"/>
    </row>
    <row r="75" spans="2:7" ht="30" customHeight="1">
      <c r="B75" s="106" t="s">
        <v>42</v>
      </c>
      <c r="C75" s="107"/>
      <c r="D75" s="70">
        <f>VLOOKUP(LEFT(B75,3),FUF,2+IF(Units="Metric",0,2),0)</f>
        <v>2.4</v>
      </c>
      <c r="E75" s="59"/>
      <c r="F75" s="60" t="str">
        <f>REPLACE(VLOOKUP(LEFT(SUBSTITUTE(B75,"Section ",""),3),FUF,3+IF(Units="Metric",0,2),0),1,4,"")</f>
        <v>ton</v>
      </c>
      <c r="G75" s="66">
        <f>MROUND(Adjust_Fuel*BPI_Fuel*E75*D75,Round)</f>
        <v>0</v>
      </c>
    </row>
    <row r="76" spans="2:7" ht="30" customHeight="1" thickBot="1">
      <c r="B76" s="106" t="s">
        <v>43</v>
      </c>
      <c r="C76" s="107"/>
      <c r="D76" s="70">
        <f>VLOOKUP(LEFT(B76,3),FUF,2+IF(Units="Metric",0,2),0)</f>
        <v>2.4</v>
      </c>
      <c r="E76" s="63"/>
      <c r="F76" s="64" t="str">
        <f>REPLACE(VLOOKUP(LEFT(SUBSTITUTE(B76,"Section ",""),3),FUF,3+IF(Units="Metric",0,2),0),1,4,"")</f>
        <v>ton</v>
      </c>
      <c r="G76" s="68">
        <f>MROUND(Adjust_Fuel*BPI_Fuel*E76*D76,Round)</f>
        <v>0</v>
      </c>
    </row>
    <row r="77" spans="2:7" ht="16.5" customHeight="1">
      <c r="B77" s="104" t="s">
        <v>44</v>
      </c>
      <c r="C77" s="105"/>
      <c r="D77" s="69" t="str">
        <f>VLOOKUP(LEFT(SUBSTITUTE(B77,"Section ",""),3),FUF,3+IF(Units="Metric",0,2),0)</f>
        <v>gal/ton</v>
      </c>
      <c r="E77" s="86"/>
      <c r="F77" s="58"/>
      <c r="G77" s="65"/>
    </row>
    <row r="78" spans="2:7" ht="15" customHeight="1">
      <c r="B78" s="106" t="s">
        <v>45</v>
      </c>
      <c r="C78" s="107"/>
      <c r="D78" s="70">
        <f>VLOOKUP(LEFT(B78,3),FUF,2+IF(Units="Metric",0,2),0)</f>
        <v>2.4</v>
      </c>
      <c r="E78" s="59"/>
      <c r="F78" s="60" t="str">
        <f>REPLACE(VLOOKUP(LEFT(SUBSTITUTE(B78,"Section ",""),3),FUF,3+IF(Units="Metric",0,2),0),1,4,"")</f>
        <v>ton</v>
      </c>
      <c r="G78" s="66">
        <f>MROUND(Adjust_Fuel*BPI_Fuel*E78*D78,Round)</f>
        <v>0</v>
      </c>
    </row>
    <row r="79" spans="2:7" ht="30" customHeight="1" thickBot="1">
      <c r="B79" s="106" t="s">
        <v>46</v>
      </c>
      <c r="C79" s="107"/>
      <c r="D79" s="70">
        <f>VLOOKUP(LEFT(B79,3),FUF,2+IF(Units="Metric",0,2),0)</f>
        <v>2.4</v>
      </c>
      <c r="E79" s="63"/>
      <c r="F79" s="64" t="str">
        <f>REPLACE(VLOOKUP(LEFT(SUBSTITUTE(B79,"Section ",""),3),FUF,3+IF(Units="Metric",0,2),0),1,4,"")</f>
        <v>ton</v>
      </c>
      <c r="G79" s="68">
        <f>MROUND(Adjust_Fuel*BPI_Fuel*E79*D79,Round)</f>
        <v>0</v>
      </c>
    </row>
    <row r="80" spans="2:7" ht="15" customHeight="1">
      <c r="B80" s="104" t="s">
        <v>47</v>
      </c>
      <c r="C80" s="105"/>
      <c r="D80" s="69" t="str">
        <f>VLOOKUP(LEFT(SUBSTITUTE(B80,"Section ",""),3),FUF,3+IF(Units="Metric",0,2),0)</f>
        <v>gal/ton</v>
      </c>
      <c r="E80" s="86"/>
      <c r="F80" s="58"/>
      <c r="G80" s="65"/>
    </row>
    <row r="81" spans="2:7" ht="15" customHeight="1" thickBot="1">
      <c r="B81" s="106" t="s">
        <v>48</v>
      </c>
      <c r="C81" s="107"/>
      <c r="D81" s="70">
        <f>VLOOKUP(LEFT(B81,3),FUF,2+IF(Units="Metric",0,2),0)</f>
        <v>2.4</v>
      </c>
      <c r="E81" s="87"/>
      <c r="F81" s="88" t="str">
        <f>REPLACE(VLOOKUP(LEFT(SUBSTITUTE(B81,"Section ",""),3),FUF,3+IF(Units="Metric",0,2),0),1,4,"")</f>
        <v>ton</v>
      </c>
      <c r="G81" s="89">
        <f>MROUND(Adjust_Fuel*BPI_Fuel*E81*D81,Round)</f>
        <v>0</v>
      </c>
    </row>
    <row r="82" spans="2:7" ht="15" customHeight="1">
      <c r="B82" s="104" t="s">
        <v>49</v>
      </c>
      <c r="C82" s="105"/>
      <c r="D82" s="69" t="str">
        <f>VLOOKUP(LEFT(SUBSTITUTE(B82,"Section ",""),3),FUF,3+IF(Units="Metric",0,2),0)</f>
        <v>gal/ton</v>
      </c>
      <c r="E82" s="86"/>
      <c r="F82" s="58"/>
      <c r="G82" s="65"/>
    </row>
    <row r="83" spans="2:7" ht="15" customHeight="1">
      <c r="B83" s="106" t="s">
        <v>50</v>
      </c>
      <c r="C83" s="107"/>
      <c r="D83" s="70">
        <f>VLOOKUP(LEFT(B83,3),FUF,2+IF(Units="Metric",0,2),0)</f>
        <v>0.7</v>
      </c>
      <c r="E83" s="59"/>
      <c r="F83" s="60" t="str">
        <f>REPLACE(VLOOKUP(LEFT(SUBSTITUTE(B83,"Section ",""),3),FUF,3+IF(Units="Metric",0,2),0),1,4,"")</f>
        <v>ton</v>
      </c>
      <c r="G83" s="66">
        <f>MROUND(Adjust_Fuel*BPI_Fuel*E83*D83,Round)</f>
        <v>0</v>
      </c>
    </row>
    <row r="84" spans="2:7" ht="15" customHeight="1" thickBot="1">
      <c r="B84" s="106" t="s">
        <v>51</v>
      </c>
      <c r="C84" s="107"/>
      <c r="D84" s="70">
        <f>VLOOKUP(LEFT(B84,3),FUF,2+IF(Units="Metric",0,2),0)</f>
        <v>0.7</v>
      </c>
      <c r="E84" s="63"/>
      <c r="F84" s="64" t="str">
        <f>REPLACE(VLOOKUP(LEFT(SUBSTITUTE(B84,"Section ",""),3),FUF,3+IF(Units="Metric",0,2),0),1,4,"")</f>
        <v>ton</v>
      </c>
      <c r="G84" s="68">
        <f>MROUND(Adjust_Fuel*BPI_Fuel*E84*D84,Round)</f>
        <v>0</v>
      </c>
    </row>
    <row r="85" spans="2:7" ht="15" customHeight="1">
      <c r="B85" s="104" t="s">
        <v>52</v>
      </c>
      <c r="C85" s="105"/>
      <c r="D85" s="69" t="str">
        <f>VLOOKUP(LEFT(SUBSTITUTE(B85,"Section ",""),3),FUF,3+IF(Units="Metric",0,2),0)</f>
        <v>gal/sqyd</v>
      </c>
      <c r="E85" s="86"/>
      <c r="F85" s="58"/>
      <c r="G85" s="65"/>
    </row>
    <row r="86" spans="2:7" ht="15" customHeight="1" thickBot="1">
      <c r="B86" s="106" t="s">
        <v>53</v>
      </c>
      <c r="C86" s="107"/>
      <c r="D86" s="70">
        <f>VLOOKUP(LEFT(B86,3),FUF,2+IF(Units="Metric",0,2),0)</f>
        <v>0.15</v>
      </c>
      <c r="E86" s="87"/>
      <c r="F86" s="88" t="str">
        <f>REPLACE(VLOOKUP(LEFT(SUBSTITUTE(B86,"Section ",""),3),FUF,3+IF(Units="Metric",0,2),0),1,4,"")</f>
        <v>sqyd</v>
      </c>
      <c r="G86" s="89">
        <f>MROUND(Adjust_Fuel*BPI_Fuel*E86*D86,Round)</f>
        <v>0</v>
      </c>
    </row>
    <row r="87" spans="2:7" ht="30" customHeight="1">
      <c r="B87" s="104" t="s">
        <v>54</v>
      </c>
      <c r="C87" s="105"/>
      <c r="D87" s="69" t="str">
        <f>VLOOKUP(LEFT(SUBSTITUTE(B87,"Section ",""),3),FUF,3+IF(Units="Metric",0,2),0)</f>
        <v>gal/sqyd</v>
      </c>
      <c r="E87" s="86"/>
      <c r="F87" s="58"/>
      <c r="G87" s="65"/>
    </row>
    <row r="88" spans="2:7" ht="15" customHeight="1" thickBot="1">
      <c r="B88" s="106" t="s">
        <v>55</v>
      </c>
      <c r="C88" s="107"/>
      <c r="D88" s="70">
        <f>VLOOKUP(LEFT(B88,3),FUF,2+IF(Units="Metric",0,2),0)</f>
        <v>0.3</v>
      </c>
      <c r="E88" s="87"/>
      <c r="F88" s="88" t="str">
        <f>REPLACE(VLOOKUP(LEFT(SUBSTITUTE(B88,"Section ",""),3),FUF,3+IF(Units="Metric",0,2),0),1,4,"")</f>
        <v>sqyd</v>
      </c>
      <c r="G88" s="89">
        <f>MROUND(Adjust_Fuel*BPI_Fuel*E88*D88,Round)</f>
        <v>0</v>
      </c>
    </row>
    <row r="89" spans="2:7" ht="15" customHeight="1">
      <c r="B89" s="104" t="s">
        <v>56</v>
      </c>
      <c r="C89" s="105"/>
      <c r="D89" s="69" t="str">
        <f>VLOOKUP(LEFT(SUBSTITUTE(B89,"Section ",""),3),FUF,3+IF(Units="Metric",0,2),0)</f>
        <v>gal/sqyd</v>
      </c>
      <c r="E89" s="86"/>
      <c r="F89" s="58"/>
      <c r="G89" s="65"/>
    </row>
    <row r="90" spans="2:7" ht="15" customHeight="1">
      <c r="B90" s="106" t="s">
        <v>57</v>
      </c>
      <c r="C90" s="107"/>
      <c r="D90" s="70">
        <f>VLOOKUP(LEFT(B90,3),FUF,2+IF(Units="Metric",0,2),0)</f>
        <v>0.6</v>
      </c>
      <c r="E90" s="59"/>
      <c r="F90" s="60" t="str">
        <f>REPLACE(VLOOKUP(LEFT(SUBSTITUTE(B90,"Section ",""),3),FUF,3+IF(Units="Metric",0,2),0),1,4,"")</f>
        <v>sqyd</v>
      </c>
      <c r="G90" s="66">
        <f>MROUND(Adjust_Fuel*BPI_Fuel*E90*D90,Round)</f>
        <v>0</v>
      </c>
    </row>
    <row r="91" spans="2:7" ht="15" customHeight="1" thickBot="1">
      <c r="B91" s="106" t="s">
        <v>58</v>
      </c>
      <c r="C91" s="107"/>
      <c r="D91" s="70">
        <f>VLOOKUP(LEFT(B91,3),FUF,2+IF(Units="Metric",0,2),0)</f>
        <v>0.6</v>
      </c>
      <c r="E91" s="71"/>
      <c r="F91" s="72" t="str">
        <f>REPLACE(VLOOKUP(LEFT(SUBSTITUTE(B91,"Section ",""),3),FUF,3+IF(Units="Metric",0,2),0),1,4,"")</f>
        <v>sqyd</v>
      </c>
      <c r="G91" s="73">
        <f>MROUND(Adjust_Fuel*BPI_Fuel*E91*D91,Round)</f>
        <v>0</v>
      </c>
    </row>
    <row r="92" spans="2:7" ht="30" customHeight="1" thickTop="1" thickBot="1">
      <c r="B92" s="83" t="s">
        <v>59</v>
      </c>
      <c r="C92" s="75"/>
      <c r="D92" s="75"/>
      <c r="E92" s="76"/>
      <c r="F92" s="81" t="s">
        <v>111</v>
      </c>
      <c r="G92" s="82">
        <f>SUM(G34:G91)</f>
        <v>0</v>
      </c>
    </row>
    <row r="93" spans="2:7" ht="15" customHeight="1" thickTop="1">
      <c r="B93" s="84" t="str">
        <f>IF(Units="Metric","(2)  Fuel Usage factor based on U.S. gallons.","")</f>
        <v/>
      </c>
      <c r="C93" s="74"/>
    </row>
    <row r="94" spans="2:7">
      <c r="B94" s="5"/>
      <c r="D94" s="6"/>
      <c r="E94" s="5"/>
      <c r="F94" s="5"/>
      <c r="G94" s="5"/>
    </row>
    <row r="95" spans="2:7" ht="15.75">
      <c r="B95" s="5"/>
      <c r="E95" s="77" t="s">
        <v>112</v>
      </c>
      <c r="F95" s="108">
        <f>SUM(G23,G92)</f>
        <v>0</v>
      </c>
      <c r="G95" s="109"/>
    </row>
    <row r="96" spans="2:7">
      <c r="B96" s="5"/>
      <c r="D96" s="9" t="s">
        <v>74</v>
      </c>
      <c r="E96" s="5"/>
      <c r="F96" s="5"/>
      <c r="G96" s="5"/>
    </row>
  </sheetData>
  <sheetProtection sheet="1" objects="1" scenarios="1"/>
  <mergeCells count="63">
    <mergeCell ref="B43:C43"/>
    <mergeCell ref="F6:G6"/>
    <mergeCell ref="B2:G2"/>
    <mergeCell ref="B65:C66"/>
    <mergeCell ref="D65:D66"/>
    <mergeCell ref="B30:C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4:C54"/>
    <mergeCell ref="B80:C80"/>
    <mergeCell ref="B82:C82"/>
    <mergeCell ref="B79:C79"/>
    <mergeCell ref="B81:C81"/>
    <mergeCell ref="B74:C74"/>
    <mergeCell ref="B55:C55"/>
    <mergeCell ref="B61:C61"/>
    <mergeCell ref="B60:C60"/>
    <mergeCell ref="B62:C62"/>
    <mergeCell ref="B63:C63"/>
    <mergeCell ref="B64:C64"/>
    <mergeCell ref="B56:C56"/>
    <mergeCell ref="B57:C57"/>
    <mergeCell ref="B44:C44"/>
    <mergeCell ref="B45:C45"/>
    <mergeCell ref="B46:C46"/>
    <mergeCell ref="B47:C47"/>
    <mergeCell ref="B53:C53"/>
    <mergeCell ref="B48:C48"/>
    <mergeCell ref="B49:C49"/>
    <mergeCell ref="B50:C50"/>
    <mergeCell ref="B52:C52"/>
    <mergeCell ref="B51:C51"/>
    <mergeCell ref="B75:C75"/>
    <mergeCell ref="B67:C67"/>
    <mergeCell ref="B71:C71"/>
    <mergeCell ref="B58:C58"/>
    <mergeCell ref="B59:C59"/>
    <mergeCell ref="B68:C68"/>
    <mergeCell ref="B69:C69"/>
    <mergeCell ref="B70:C70"/>
    <mergeCell ref="B72:C72"/>
    <mergeCell ref="B73:C73"/>
    <mergeCell ref="B90:C90"/>
    <mergeCell ref="B91:C91"/>
    <mergeCell ref="F95:G95"/>
    <mergeCell ref="B83:C83"/>
    <mergeCell ref="B84:C84"/>
    <mergeCell ref="B86:C86"/>
    <mergeCell ref="B88:C88"/>
    <mergeCell ref="B85:C85"/>
    <mergeCell ref="B87:C87"/>
    <mergeCell ref="B89:C89"/>
    <mergeCell ref="B76:C76"/>
    <mergeCell ref="B78:C78"/>
    <mergeCell ref="B77:C77"/>
  </mergeCells>
  <phoneticPr fontId="3" type="noConversion"/>
  <conditionalFormatting sqref="F34:G42 F44:G51 F53:G54 F56:G60 F81:G81 F86:G86 F88:G88 F16:H22 F68:G70 F72:G73 F75:G76 F78:G79 F83:G84 F90:G91 F62:G64">
    <cfRule type="expression" dxfId="3" priority="1" stopIfTrue="1">
      <formula>ISBLANK(F16)</formula>
    </cfRule>
  </conditionalFormatting>
  <conditionalFormatting sqref="E16:E22">
    <cfRule type="cellIs" dxfId="2" priority="2" stopIfTrue="1" operator="notEqual">
      <formula>0.06</formula>
    </cfRule>
  </conditionalFormatting>
  <dataValidations count="4">
    <dataValidation type="list" allowBlank="1" showInputMessage="1" showErrorMessage="1" promptTitle="Project Units" prompt="Select either Metric or US Customary units" sqref="F6:G6">
      <formula1>"Metric, US Customary"</formula1>
    </dataValidation>
    <dataValidation allowBlank="1" showInputMessage="1" showErrorMessage="1" promptTitle="Insert Project Number" prompt="Project Number will appear in the heading on each sheet" sqref="B2:G2"/>
    <dataValidation allowBlank="1" showInputMessage="1" showErrorMessage="1" promptTitle="Insert BPI" prompt="Insert Asphalt Cement Base Price Index (BPI)" sqref="F11"/>
    <dataValidation allowBlank="1" showInputMessage="1" showErrorMessage="1" promptTitle="Insert BPI" prompt="Insert Fuel Base Price Index (BPI)" sqref="F27"/>
  </dataValidations>
  <hyperlinks>
    <hyperlink ref="B5" r:id="rId1"/>
  </hyperlinks>
  <pageMargins left="0.75" right="0.5" top="0.75" bottom="0.75" header="0.5" footer="0.5"/>
  <pageSetup orientation="portrait" r:id="rId2"/>
  <headerFooter alignWithMargins="0">
    <oddFooter>&amp;CPage &amp;P of &amp;N</oddFooter>
  </headerFooter>
  <rowBreaks count="2" manualBreakCount="2">
    <brk id="24" max="16383" man="1"/>
    <brk id="64" min="1" max="6" man="1"/>
  </rowBreaks>
  <ignoredErrors>
    <ignoredError sqref="D43 D52 D55 D61 D67 D71 D74 D77 D80:D81 D82 D85:D88 D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>
      <selection activeCell="B16" sqref="B16"/>
    </sheetView>
  </sheetViews>
  <sheetFormatPr defaultRowHeight="12.75"/>
  <sheetData>
    <row r="1" spans="1:5">
      <c r="A1" s="39" t="s">
        <v>113</v>
      </c>
    </row>
    <row r="2" spans="1:5">
      <c r="C2" s="95" t="s">
        <v>114</v>
      </c>
      <c r="D2" s="98">
        <v>1.1000000000000001</v>
      </c>
    </row>
    <row r="3" spans="1:5">
      <c r="C3" s="95" t="s">
        <v>115</v>
      </c>
      <c r="D3" s="98">
        <v>1.3</v>
      </c>
    </row>
    <row r="4" spans="1:5">
      <c r="C4" s="95" t="s">
        <v>117</v>
      </c>
      <c r="D4" s="99">
        <v>0.01</v>
      </c>
    </row>
    <row r="6" spans="1:5">
      <c r="A6" s="47"/>
      <c r="B6" s="90" t="s">
        <v>86</v>
      </c>
      <c r="C6" s="90"/>
      <c r="D6" s="90"/>
      <c r="E6" s="90"/>
    </row>
    <row r="7" spans="1:5">
      <c r="A7" s="91" t="s">
        <v>85</v>
      </c>
      <c r="B7" s="92" t="s">
        <v>87</v>
      </c>
      <c r="C7" s="53"/>
      <c r="D7" s="52" t="s">
        <v>88</v>
      </c>
      <c r="E7" s="52"/>
    </row>
    <row r="8" spans="1:5">
      <c r="A8" s="11" t="s">
        <v>89</v>
      </c>
      <c r="B8" s="93">
        <v>0.39</v>
      </c>
      <c r="C8" s="94" t="s">
        <v>71</v>
      </c>
      <c r="D8">
        <v>0.3</v>
      </c>
      <c r="E8" t="s">
        <v>83</v>
      </c>
    </row>
    <row r="9" spans="1:5">
      <c r="A9" s="11" t="s">
        <v>90</v>
      </c>
      <c r="B9" s="93">
        <v>0.77</v>
      </c>
      <c r="C9" s="94" t="s">
        <v>81</v>
      </c>
      <c r="D9">
        <v>0.7</v>
      </c>
      <c r="E9" t="s">
        <v>4</v>
      </c>
    </row>
    <row r="10" spans="1:5">
      <c r="A10" s="11" t="s">
        <v>91</v>
      </c>
      <c r="B10" s="93">
        <v>0.77</v>
      </c>
      <c r="C10" s="94" t="s">
        <v>81</v>
      </c>
      <c r="D10">
        <v>0.7</v>
      </c>
      <c r="E10" t="s">
        <v>4</v>
      </c>
    </row>
    <row r="11" spans="1:5">
      <c r="A11" s="11" t="s">
        <v>92</v>
      </c>
      <c r="B11" s="93">
        <v>0.77</v>
      </c>
      <c r="C11" s="94" t="s">
        <v>81</v>
      </c>
      <c r="D11">
        <v>0.7</v>
      </c>
      <c r="E11" t="s">
        <v>4</v>
      </c>
    </row>
    <row r="12" spans="1:5">
      <c r="A12" s="11" t="s">
        <v>93</v>
      </c>
      <c r="B12" s="93">
        <v>0.77</v>
      </c>
      <c r="C12" s="94" t="s">
        <v>81</v>
      </c>
      <c r="D12">
        <v>0.7</v>
      </c>
      <c r="E12" t="s">
        <v>4</v>
      </c>
    </row>
    <row r="13" spans="1:5">
      <c r="A13" s="11" t="s">
        <v>94</v>
      </c>
      <c r="B13" s="93">
        <v>0.15</v>
      </c>
      <c r="C13" s="94" t="s">
        <v>70</v>
      </c>
      <c r="D13">
        <v>0.1</v>
      </c>
      <c r="E13" t="s">
        <v>82</v>
      </c>
    </row>
    <row r="14" spans="1:5">
      <c r="A14" s="11" t="s">
        <v>95</v>
      </c>
      <c r="B14" s="93">
        <v>2.65</v>
      </c>
      <c r="C14" s="94" t="s">
        <v>81</v>
      </c>
      <c r="D14">
        <v>2.4</v>
      </c>
      <c r="E14" t="s">
        <v>4</v>
      </c>
    </row>
    <row r="15" spans="1:5">
      <c r="A15" s="11" t="s">
        <v>96</v>
      </c>
      <c r="B15" s="93">
        <v>2.65</v>
      </c>
      <c r="C15" s="94" t="s">
        <v>81</v>
      </c>
      <c r="D15">
        <v>2.4</v>
      </c>
      <c r="E15" t="s">
        <v>4</v>
      </c>
    </row>
    <row r="16" spans="1:5">
      <c r="A16" s="11" t="s">
        <v>97</v>
      </c>
      <c r="B16" s="93">
        <v>2.65</v>
      </c>
      <c r="C16" s="94" t="s">
        <v>81</v>
      </c>
      <c r="D16">
        <v>2.4</v>
      </c>
      <c r="E16" t="s">
        <v>4</v>
      </c>
    </row>
    <row r="17" spans="1:5">
      <c r="A17" s="11" t="s">
        <v>98</v>
      </c>
      <c r="B17" s="93">
        <v>2.65</v>
      </c>
      <c r="C17" s="94" t="s">
        <v>81</v>
      </c>
      <c r="D17">
        <v>2.4</v>
      </c>
      <c r="E17" t="s">
        <v>4</v>
      </c>
    </row>
    <row r="18" spans="1:5">
      <c r="A18" s="11" t="s">
        <v>99</v>
      </c>
      <c r="B18" s="93">
        <v>0.77</v>
      </c>
      <c r="C18" s="94" t="s">
        <v>81</v>
      </c>
      <c r="D18">
        <v>0.7</v>
      </c>
      <c r="E18" t="s">
        <v>4</v>
      </c>
    </row>
    <row r="19" spans="1:5">
      <c r="A19" s="11" t="s">
        <v>100</v>
      </c>
      <c r="B19" s="93">
        <v>0.18</v>
      </c>
      <c r="C19" s="94" t="s">
        <v>70</v>
      </c>
      <c r="D19">
        <v>0.15</v>
      </c>
      <c r="E19" t="s">
        <v>82</v>
      </c>
    </row>
    <row r="20" spans="1:5">
      <c r="A20" s="11" t="s">
        <v>101</v>
      </c>
      <c r="B20" s="93">
        <v>0.36</v>
      </c>
      <c r="C20" s="94" t="s">
        <v>70</v>
      </c>
      <c r="D20">
        <v>0.3</v>
      </c>
      <c r="E20" t="s">
        <v>82</v>
      </c>
    </row>
    <row r="21" spans="1:5">
      <c r="A21" s="11" t="s">
        <v>102</v>
      </c>
      <c r="B21" s="93">
        <v>0.72</v>
      </c>
      <c r="C21" s="94" t="s">
        <v>70</v>
      </c>
      <c r="D21">
        <v>0.6</v>
      </c>
      <c r="E21" t="s">
        <v>82</v>
      </c>
    </row>
  </sheetData>
  <sheetProtection sheet="1" objects="1" scenarios="1"/>
  <phoneticPr fontId="3" type="noConversion"/>
  <pageMargins left="0.75" right="0.75" top="1" bottom="1" header="0.5" footer="0.5"/>
  <headerFooter alignWithMargins="0"/>
  <ignoredErrors>
    <ignoredError sqref="A8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H96"/>
  <sheetViews>
    <sheetView showGridLines="0" workbookViewId="0">
      <selection activeCell="F11" sqref="F11"/>
    </sheetView>
  </sheetViews>
  <sheetFormatPr defaultColWidth="9.7109375" defaultRowHeight="12.75"/>
  <cols>
    <col min="2" max="2" width="40.7109375" customWidth="1"/>
    <col min="3" max="3" width="8.7109375" style="3" customWidth="1"/>
    <col min="4" max="6" width="9.7109375" customWidth="1"/>
    <col min="7" max="7" width="15.7109375" customWidth="1"/>
  </cols>
  <sheetData>
    <row r="1" spans="2:8" ht="15.75">
      <c r="B1" s="31" t="s">
        <v>75</v>
      </c>
      <c r="C1" s="32"/>
      <c r="D1" s="23"/>
      <c r="E1" s="23"/>
      <c r="F1" s="23"/>
      <c r="G1" s="23"/>
    </row>
    <row r="2" spans="2:8" ht="15">
      <c r="B2" s="114" t="s">
        <v>118</v>
      </c>
      <c r="C2" s="115"/>
      <c r="D2" s="115"/>
      <c r="E2" s="115"/>
      <c r="F2" s="115"/>
      <c r="G2" s="115"/>
    </row>
    <row r="4" spans="2:8">
      <c r="B4" t="s">
        <v>76</v>
      </c>
    </row>
    <row r="5" spans="2:8">
      <c r="B5" s="10" t="s">
        <v>119</v>
      </c>
    </row>
    <row r="6" spans="2:8">
      <c r="F6" s="112" t="s">
        <v>84</v>
      </c>
      <c r="G6" s="113"/>
    </row>
    <row r="7" spans="2:8">
      <c r="B7" t="s">
        <v>77</v>
      </c>
    </row>
    <row r="8" spans="2:8">
      <c r="D8" s="7"/>
    </row>
    <row r="9" spans="2:8">
      <c r="C9" s="5" t="str">
        <f>"Contractor payment = (MPPI/BPI - "&amp;TEXT(No_payment,"0.00")&amp;")(BPI)(Q)"</f>
        <v>Contractor payment = (MPPI/BPI - 1.10)(BPI)(Q)</v>
      </c>
    </row>
    <row r="10" spans="2:8">
      <c r="C10" s="97" t="str">
        <f>"(MPPI/BPI – "&amp;TEXT(No_payment,"0.00")&amp;")"</f>
        <v>(MPPI/BPI – 1.10)</v>
      </c>
      <c r="E10" s="96" t="str">
        <f>"= ("&amp;TEXT(Estimating,"0.00")&amp;" – "&amp;TEXT(No_payment,"0.00")&amp;") ="</f>
        <v>= (1.30 – 1.10) =</v>
      </c>
      <c r="F10" s="3">
        <f>Estimating-No_payment</f>
        <v>0.19999999999999996</v>
      </c>
    </row>
    <row r="11" spans="2:8">
      <c r="E11" s="20" t="s">
        <v>60</v>
      </c>
      <c r="F11" s="22">
        <v>356.32017999999999</v>
      </c>
      <c r="G11" t="str">
        <f>"$/"&amp;IF(Units="Metric","Metric ton","ton")</f>
        <v>$/ton</v>
      </c>
    </row>
    <row r="12" spans="2:8">
      <c r="D12" s="7"/>
    </row>
    <row r="13" spans="2:8" ht="15" thickBot="1">
      <c r="B13" s="33" t="s">
        <v>106</v>
      </c>
      <c r="C13" s="34"/>
      <c r="D13" s="19" t="s">
        <v>64</v>
      </c>
      <c r="E13" s="14" t="s">
        <v>72</v>
      </c>
      <c r="F13" s="14" t="s">
        <v>65</v>
      </c>
      <c r="G13" s="36"/>
    </row>
    <row r="14" spans="2:8" ht="15" thickBot="1">
      <c r="B14" s="102" t="s">
        <v>68</v>
      </c>
      <c r="C14" s="103"/>
      <c r="D14" s="15" t="s">
        <v>65</v>
      </c>
      <c r="E14" s="16" t="s">
        <v>2</v>
      </c>
      <c r="F14" s="35" t="s">
        <v>63</v>
      </c>
      <c r="G14" s="37" t="s">
        <v>66</v>
      </c>
    </row>
    <row r="15" spans="2:8" ht="13.5" thickBot="1">
      <c r="B15" s="1" t="s">
        <v>62</v>
      </c>
      <c r="C15" s="1" t="s">
        <v>1</v>
      </c>
      <c r="D15" s="17" t="str">
        <f>"("&amp;IF(Units="Metric","t","ton")&amp;")"</f>
        <v>(ton)</v>
      </c>
      <c r="E15" s="18" t="s">
        <v>73</v>
      </c>
      <c r="F15" s="28" t="str">
        <f>"("&amp;IF(Units="Metric","t","ton")&amp;")"</f>
        <v>(ton)</v>
      </c>
      <c r="G15" s="38" t="s">
        <v>67</v>
      </c>
    </row>
    <row r="16" spans="2:8" ht="26.25" thickBot="1">
      <c r="B16" s="2" t="s">
        <v>3</v>
      </c>
      <c r="C16" s="4" t="s">
        <v>5</v>
      </c>
      <c r="D16" s="40">
        <v>35500</v>
      </c>
      <c r="E16" s="24">
        <v>0.06</v>
      </c>
      <c r="F16" s="43">
        <f t="shared" ref="F16:F22" si="0">D16*E16</f>
        <v>2130</v>
      </c>
      <c r="G16" s="12">
        <f t="shared" ref="G16:G22" si="1">MROUND(Adjust_Asphalt*BPI_Asphalt*F16,Round)</f>
        <v>151792.4</v>
      </c>
      <c r="H16" s="27" t="str">
        <f t="shared" ref="H16:H22" si="2">IF(E16&lt;&gt;0.06,"Asphalt content normally set to 0.06","")</f>
        <v/>
      </c>
    </row>
    <row r="17" spans="2:8" ht="26.25" thickBot="1">
      <c r="B17" s="2" t="s">
        <v>61</v>
      </c>
      <c r="C17" s="4" t="s">
        <v>5</v>
      </c>
      <c r="D17" s="41"/>
      <c r="E17" s="25">
        <v>0.06</v>
      </c>
      <c r="F17" s="44">
        <f t="shared" si="0"/>
        <v>0</v>
      </c>
      <c r="G17" s="13">
        <f t="shared" si="1"/>
        <v>0</v>
      </c>
      <c r="H17" s="27" t="str">
        <f t="shared" si="2"/>
        <v/>
      </c>
    </row>
    <row r="18" spans="2:8" ht="26.25" thickBot="1">
      <c r="B18" s="2" t="s">
        <v>42</v>
      </c>
      <c r="C18" s="4" t="s">
        <v>5</v>
      </c>
      <c r="D18" s="41"/>
      <c r="E18" s="25">
        <v>0.06</v>
      </c>
      <c r="F18" s="44">
        <f t="shared" si="0"/>
        <v>0</v>
      </c>
      <c r="G18" s="13">
        <f t="shared" si="1"/>
        <v>0</v>
      </c>
      <c r="H18" s="27" t="str">
        <f t="shared" si="2"/>
        <v/>
      </c>
    </row>
    <row r="19" spans="2:8" ht="26.25" thickBot="1">
      <c r="B19" s="2" t="s">
        <v>43</v>
      </c>
      <c r="C19" s="4" t="s">
        <v>5</v>
      </c>
      <c r="D19" s="41"/>
      <c r="E19" s="25">
        <v>0.06</v>
      </c>
      <c r="F19" s="44">
        <f t="shared" si="0"/>
        <v>0</v>
      </c>
      <c r="G19" s="13">
        <f t="shared" si="1"/>
        <v>0</v>
      </c>
      <c r="H19" s="27" t="str">
        <f t="shared" si="2"/>
        <v/>
      </c>
    </row>
    <row r="20" spans="2:8" ht="26.25" thickBot="1">
      <c r="B20" s="2" t="s">
        <v>45</v>
      </c>
      <c r="C20" s="4" t="s">
        <v>5</v>
      </c>
      <c r="D20" s="41"/>
      <c r="E20" s="25">
        <v>0.06</v>
      </c>
      <c r="F20" s="44">
        <f t="shared" si="0"/>
        <v>0</v>
      </c>
      <c r="G20" s="13">
        <f t="shared" si="1"/>
        <v>0</v>
      </c>
      <c r="H20" s="27" t="str">
        <f t="shared" si="2"/>
        <v/>
      </c>
    </row>
    <row r="21" spans="2:8" ht="26.25" thickBot="1">
      <c r="B21" s="2" t="s">
        <v>46</v>
      </c>
      <c r="C21" s="4" t="s">
        <v>5</v>
      </c>
      <c r="D21" s="41"/>
      <c r="E21" s="25">
        <v>0.06</v>
      </c>
      <c r="F21" s="44">
        <f t="shared" si="0"/>
        <v>0</v>
      </c>
      <c r="G21" s="13">
        <f t="shared" si="1"/>
        <v>0</v>
      </c>
      <c r="H21" s="27" t="str">
        <f t="shared" si="2"/>
        <v/>
      </c>
    </row>
    <row r="22" spans="2:8" ht="26.25" thickBot="1">
      <c r="B22" s="2" t="s">
        <v>48</v>
      </c>
      <c r="C22" s="4" t="s">
        <v>5</v>
      </c>
      <c r="D22" s="42"/>
      <c r="E22" s="26">
        <v>0.06</v>
      </c>
      <c r="F22" s="45">
        <f t="shared" si="0"/>
        <v>0</v>
      </c>
      <c r="G22" s="21">
        <f t="shared" si="1"/>
        <v>0</v>
      </c>
      <c r="H22" s="27" t="str">
        <f t="shared" si="2"/>
        <v/>
      </c>
    </row>
    <row r="23" spans="2:8" ht="24" customHeight="1" thickTop="1" thickBot="1">
      <c r="F23" s="29" t="s">
        <v>105</v>
      </c>
      <c r="G23" s="30">
        <f>SUM(G16:G22)</f>
        <v>151792.4</v>
      </c>
    </row>
    <row r="24" spans="2:8" ht="13.5" thickTop="1"/>
    <row r="25" spans="2:8">
      <c r="C25" s="5" t="str">
        <f>"Contractor payment = (MPPI/BPI - "&amp;TEXT(No_payment,"0.00")&amp;")(BPI)(Q)(FUF)"</f>
        <v>Contractor payment = (MPPI/BPI - 1.10)(BPI)(Q)(FUF)</v>
      </c>
      <c r="D25" s="5"/>
      <c r="E25" s="5"/>
      <c r="F25" s="5"/>
    </row>
    <row r="26" spans="2:8">
      <c r="C26" s="97" t="str">
        <f>"(MPPI/BPI – "&amp;TEXT(No_payment,"0.00")&amp;")"</f>
        <v>(MPPI/BPI – 1.10)</v>
      </c>
      <c r="E26" s="96" t="str">
        <f>"= ("&amp;TEXT(Estimating,"0.00")&amp;" – "&amp;TEXT(No_payment,"0.00")&amp;") ="</f>
        <v>= (1.30 – 1.10) =</v>
      </c>
      <c r="F26" s="3">
        <f>Estimating-No_payment</f>
        <v>0.19999999999999996</v>
      </c>
    </row>
    <row r="27" spans="2:8" ht="13.5" thickBot="1">
      <c r="D27" s="5"/>
      <c r="E27" s="20" t="s">
        <v>60</v>
      </c>
      <c r="F27" s="22">
        <v>2.52</v>
      </c>
      <c r="G27" t="s">
        <v>110</v>
      </c>
    </row>
    <row r="28" spans="2:8" ht="15" thickBot="1">
      <c r="B28" s="100" t="s">
        <v>69</v>
      </c>
      <c r="C28" s="101"/>
      <c r="D28" s="8"/>
    </row>
    <row r="29" spans="2:8">
      <c r="B29" s="49"/>
      <c r="C29" s="46"/>
      <c r="D29" s="78" t="s">
        <v>107</v>
      </c>
      <c r="E29" s="56" t="s">
        <v>109</v>
      </c>
      <c r="F29" s="56"/>
      <c r="G29" s="56"/>
    </row>
    <row r="30" spans="2:8">
      <c r="B30" s="122" t="s">
        <v>6</v>
      </c>
      <c r="C30" s="123"/>
      <c r="D30" s="79" t="s">
        <v>103</v>
      </c>
    </row>
    <row r="31" spans="2:8">
      <c r="B31" s="124"/>
      <c r="C31" s="123"/>
      <c r="D31" s="79" t="s">
        <v>104</v>
      </c>
      <c r="E31" s="51" t="s">
        <v>108</v>
      </c>
      <c r="F31" s="54"/>
      <c r="G31" s="36" t="s">
        <v>66</v>
      </c>
    </row>
    <row r="32" spans="2:8" ht="13.5" thickBot="1">
      <c r="B32" s="50"/>
      <c r="C32" s="48"/>
      <c r="D32" s="80" t="str">
        <f>"Factor"&amp;IF(Units="Metric"," (2)","")</f>
        <v>Factor</v>
      </c>
      <c r="E32" s="52" t="s">
        <v>63</v>
      </c>
      <c r="F32" s="55"/>
      <c r="G32" s="38" t="s">
        <v>67</v>
      </c>
    </row>
    <row r="33" spans="2:7" ht="15" customHeight="1">
      <c r="B33" s="125" t="s">
        <v>7</v>
      </c>
      <c r="C33" s="126"/>
      <c r="D33" s="69" t="str">
        <f>VLOOKUP(LEFT(SUBSTITUTE(B33,"Section ",""),3),FUF,3+IF(Units="Metric",0,2),0)</f>
        <v>gal/cuyd</v>
      </c>
      <c r="E33" s="57"/>
      <c r="F33" s="58"/>
      <c r="G33" s="65"/>
    </row>
    <row r="34" spans="2:7" ht="15" customHeight="1">
      <c r="B34" s="106" t="s">
        <v>0</v>
      </c>
      <c r="C34" s="107"/>
      <c r="D34" s="70">
        <f t="shared" ref="D34:D42" si="3">VLOOKUP(LEFT(B34,3),FUF,2+IF(Units="Metric",0,2),0)</f>
        <v>0.3</v>
      </c>
      <c r="E34" s="59">
        <v>52500</v>
      </c>
      <c r="F34" s="60" t="str">
        <f t="shared" ref="F34:F42" si="4">REPLACE(VLOOKUP(LEFT(SUBSTITUTE(B34,"Section ",""),3),FUF,3+IF(Units="Metric",0,2),0),1,4,"")</f>
        <v>cuyd</v>
      </c>
      <c r="G34" s="66">
        <f t="shared" ref="G34:G42" si="5">MROUND(Adjust_Fuel*BPI_Fuel*E34*D34,Round)</f>
        <v>7938</v>
      </c>
    </row>
    <row r="35" spans="2:7" ht="15" customHeight="1">
      <c r="B35" s="106" t="s">
        <v>8</v>
      </c>
      <c r="C35" s="107"/>
      <c r="D35" s="70">
        <f t="shared" si="3"/>
        <v>0.3</v>
      </c>
      <c r="E35" s="61"/>
      <c r="F35" s="62" t="str">
        <f t="shared" si="4"/>
        <v>cuyd</v>
      </c>
      <c r="G35" s="67">
        <f t="shared" si="5"/>
        <v>0</v>
      </c>
    </row>
    <row r="36" spans="2:7" ht="15" customHeight="1">
      <c r="B36" s="106" t="s">
        <v>9</v>
      </c>
      <c r="C36" s="107"/>
      <c r="D36" s="70">
        <f t="shared" si="3"/>
        <v>0.3</v>
      </c>
      <c r="E36" s="61">
        <v>68500</v>
      </c>
      <c r="F36" s="62" t="str">
        <f t="shared" si="4"/>
        <v>cuyd</v>
      </c>
      <c r="G36" s="67">
        <f t="shared" si="5"/>
        <v>10357.200000000001</v>
      </c>
    </row>
    <row r="37" spans="2:7" ht="15" customHeight="1">
      <c r="B37" s="106" t="s">
        <v>10</v>
      </c>
      <c r="C37" s="107"/>
      <c r="D37" s="70">
        <f t="shared" si="3"/>
        <v>0.3</v>
      </c>
      <c r="E37" s="61"/>
      <c r="F37" s="62" t="str">
        <f t="shared" si="4"/>
        <v>cuyd</v>
      </c>
      <c r="G37" s="67">
        <f t="shared" si="5"/>
        <v>0</v>
      </c>
    </row>
    <row r="38" spans="2:7" ht="15" customHeight="1">
      <c r="B38" s="106" t="s">
        <v>11</v>
      </c>
      <c r="C38" s="107"/>
      <c r="D38" s="70">
        <f t="shared" si="3"/>
        <v>0.3</v>
      </c>
      <c r="E38" s="61"/>
      <c r="F38" s="62" t="str">
        <f t="shared" si="4"/>
        <v>cuyd</v>
      </c>
      <c r="G38" s="67">
        <f t="shared" si="5"/>
        <v>0</v>
      </c>
    </row>
    <row r="39" spans="2:7" ht="15" customHeight="1">
      <c r="B39" s="106" t="s">
        <v>12</v>
      </c>
      <c r="C39" s="107"/>
      <c r="D39" s="70">
        <f t="shared" si="3"/>
        <v>0.3</v>
      </c>
      <c r="E39" s="61"/>
      <c r="F39" s="62" t="str">
        <f t="shared" si="4"/>
        <v>cuyd</v>
      </c>
      <c r="G39" s="67">
        <f t="shared" si="5"/>
        <v>0</v>
      </c>
    </row>
    <row r="40" spans="2:7" ht="15" customHeight="1">
      <c r="B40" s="106" t="s">
        <v>13</v>
      </c>
      <c r="C40" s="107"/>
      <c r="D40" s="70">
        <f t="shared" si="3"/>
        <v>0.3</v>
      </c>
      <c r="E40" s="61"/>
      <c r="F40" s="62" t="str">
        <f t="shared" si="4"/>
        <v>cuyd</v>
      </c>
      <c r="G40" s="67">
        <f t="shared" si="5"/>
        <v>0</v>
      </c>
    </row>
    <row r="41" spans="2:7" ht="15" customHeight="1">
      <c r="B41" s="106" t="s">
        <v>14</v>
      </c>
      <c r="C41" s="107"/>
      <c r="D41" s="70">
        <f t="shared" si="3"/>
        <v>0.3</v>
      </c>
      <c r="E41" s="61"/>
      <c r="F41" s="62" t="str">
        <f t="shared" si="4"/>
        <v>cuyd</v>
      </c>
      <c r="G41" s="67">
        <f t="shared" si="5"/>
        <v>0</v>
      </c>
    </row>
    <row r="42" spans="2:7" ht="15" customHeight="1" thickBot="1">
      <c r="B42" s="106" t="s">
        <v>15</v>
      </c>
      <c r="C42" s="107"/>
      <c r="D42" s="70">
        <f t="shared" si="3"/>
        <v>0.3</v>
      </c>
      <c r="E42" s="63"/>
      <c r="F42" s="64" t="str">
        <f t="shared" si="4"/>
        <v>cuyd</v>
      </c>
      <c r="G42" s="68">
        <f t="shared" si="5"/>
        <v>0</v>
      </c>
    </row>
    <row r="43" spans="2:7" ht="15" customHeight="1">
      <c r="B43" s="104" t="s">
        <v>16</v>
      </c>
      <c r="C43" s="105"/>
      <c r="D43" s="69" t="str">
        <f>VLOOKUP(LEFT(SUBSTITUTE(B43,"Section ",""),3),FUF,3+IF(Units="Metric",0,2),0)</f>
        <v>gal/ton</v>
      </c>
      <c r="E43" s="57"/>
      <c r="F43" s="58"/>
      <c r="G43" s="65"/>
    </row>
    <row r="44" spans="2:7" ht="15" customHeight="1">
      <c r="B44" s="106" t="s">
        <v>17</v>
      </c>
      <c r="C44" s="107"/>
      <c r="D44" s="70">
        <f t="shared" ref="D44:D51" si="6">VLOOKUP(LEFT(B44,3),FUF,2+IF(Units="Metric",0,2),0)</f>
        <v>0.7</v>
      </c>
      <c r="E44" s="59"/>
      <c r="F44" s="60" t="str">
        <f t="shared" ref="F44:F51" si="7">REPLACE(VLOOKUP(LEFT(SUBSTITUTE(B44,"Section ",""),3),FUF,3+IF(Units="Metric",0,2),0),1,4,"")</f>
        <v>ton</v>
      </c>
      <c r="G44" s="66">
        <f t="shared" ref="G44:G51" si="8">MROUND(Adjust_Fuel*BPI_Fuel*E44*D44,Round)</f>
        <v>0</v>
      </c>
    </row>
    <row r="45" spans="2:7" ht="15" customHeight="1">
      <c r="B45" s="106" t="s">
        <v>18</v>
      </c>
      <c r="C45" s="107"/>
      <c r="D45" s="70">
        <f t="shared" si="6"/>
        <v>0.7</v>
      </c>
      <c r="E45" s="61"/>
      <c r="F45" s="62" t="str">
        <f t="shared" si="7"/>
        <v>ton</v>
      </c>
      <c r="G45" s="67">
        <f t="shared" si="8"/>
        <v>0</v>
      </c>
    </row>
    <row r="46" spans="2:7" ht="15" customHeight="1">
      <c r="B46" s="106" t="s">
        <v>19</v>
      </c>
      <c r="C46" s="107"/>
      <c r="D46" s="70">
        <f t="shared" si="6"/>
        <v>0.7</v>
      </c>
      <c r="E46" s="61"/>
      <c r="F46" s="62" t="str">
        <f t="shared" si="7"/>
        <v>ton</v>
      </c>
      <c r="G46" s="67">
        <f t="shared" si="8"/>
        <v>0</v>
      </c>
    </row>
    <row r="47" spans="2:7" ht="15" customHeight="1">
      <c r="B47" s="106" t="s">
        <v>20</v>
      </c>
      <c r="C47" s="107"/>
      <c r="D47" s="70">
        <f t="shared" si="6"/>
        <v>0.7</v>
      </c>
      <c r="E47" s="61"/>
      <c r="F47" s="62" t="str">
        <f t="shared" si="7"/>
        <v>ton</v>
      </c>
      <c r="G47" s="67">
        <f t="shared" si="8"/>
        <v>0</v>
      </c>
    </row>
    <row r="48" spans="2:7" ht="15" customHeight="1">
      <c r="B48" s="106" t="s">
        <v>21</v>
      </c>
      <c r="C48" s="107"/>
      <c r="D48" s="70">
        <f t="shared" si="6"/>
        <v>0.7</v>
      </c>
      <c r="E48" s="61"/>
      <c r="F48" s="62" t="str">
        <f t="shared" si="7"/>
        <v>ton</v>
      </c>
      <c r="G48" s="67">
        <f t="shared" si="8"/>
        <v>0</v>
      </c>
    </row>
    <row r="49" spans="2:7" ht="15" customHeight="1">
      <c r="B49" s="106" t="s">
        <v>22</v>
      </c>
      <c r="C49" s="107"/>
      <c r="D49" s="70">
        <f t="shared" si="6"/>
        <v>0.7</v>
      </c>
      <c r="E49" s="61"/>
      <c r="F49" s="62" t="str">
        <f t="shared" si="7"/>
        <v>ton</v>
      </c>
      <c r="G49" s="67">
        <f t="shared" si="8"/>
        <v>0</v>
      </c>
    </row>
    <row r="50" spans="2:7" ht="15" customHeight="1">
      <c r="B50" s="106" t="s">
        <v>23</v>
      </c>
      <c r="C50" s="107"/>
      <c r="D50" s="70">
        <f t="shared" si="6"/>
        <v>0.7</v>
      </c>
      <c r="E50" s="61"/>
      <c r="F50" s="62" t="str">
        <f t="shared" si="7"/>
        <v>ton</v>
      </c>
      <c r="G50" s="67">
        <f t="shared" si="8"/>
        <v>0</v>
      </c>
    </row>
    <row r="51" spans="2:7" ht="15" customHeight="1" thickBot="1">
      <c r="B51" s="106" t="s">
        <v>24</v>
      </c>
      <c r="C51" s="107"/>
      <c r="D51" s="70">
        <f t="shared" si="6"/>
        <v>0.7</v>
      </c>
      <c r="E51" s="63"/>
      <c r="F51" s="64" t="str">
        <f t="shared" si="7"/>
        <v>ton</v>
      </c>
      <c r="G51" s="68">
        <f t="shared" si="8"/>
        <v>0</v>
      </c>
    </row>
    <row r="52" spans="2:7" ht="15" customHeight="1">
      <c r="B52" s="104" t="s">
        <v>25</v>
      </c>
      <c r="C52" s="105"/>
      <c r="D52" s="69" t="str">
        <f>VLOOKUP(LEFT(SUBSTITUTE(B52,"Section ",""),3),FUF,3+IF(Units="Metric",0,2),0)</f>
        <v>gal/ton</v>
      </c>
      <c r="E52" s="57"/>
      <c r="F52" s="58"/>
      <c r="G52" s="65"/>
    </row>
    <row r="53" spans="2:7" ht="15" customHeight="1">
      <c r="B53" s="106" t="s">
        <v>26</v>
      </c>
      <c r="C53" s="107"/>
      <c r="D53" s="70">
        <f>VLOOKUP(LEFT(B53,3),FUF,2+IF(Units="Metric",0,2),0)</f>
        <v>0.7</v>
      </c>
      <c r="E53" s="59"/>
      <c r="F53" s="60" t="str">
        <f>REPLACE(VLOOKUP(LEFT(SUBSTITUTE(B53,"Section ",""),3),FUF,3+IF(Units="Metric",0,2),0),1,4,"")</f>
        <v>ton</v>
      </c>
      <c r="G53" s="66">
        <f>MROUND(Adjust_Fuel*BPI_Fuel*E53*D53,Round)</f>
        <v>0</v>
      </c>
    </row>
    <row r="54" spans="2:7" ht="15" customHeight="1" thickBot="1">
      <c r="B54" s="106" t="s">
        <v>27</v>
      </c>
      <c r="C54" s="107"/>
      <c r="D54" s="70">
        <f>VLOOKUP(LEFT(B54,3),FUF,2+IF(Units="Metric",0,2),0)</f>
        <v>0.7</v>
      </c>
      <c r="E54" s="63"/>
      <c r="F54" s="64" t="str">
        <f>REPLACE(VLOOKUP(LEFT(SUBSTITUTE(B54,"Section ",""),3),FUF,3+IF(Units="Metric",0,2),0),1,4,"")</f>
        <v>ton</v>
      </c>
      <c r="G54" s="68">
        <f>MROUND(Adjust_Fuel*BPI_Fuel*E54*D54,Round)</f>
        <v>0</v>
      </c>
    </row>
    <row r="55" spans="2:7" ht="15" customHeight="1">
      <c r="B55" s="104" t="s">
        <v>28</v>
      </c>
      <c r="C55" s="105"/>
      <c r="D55" s="69" t="str">
        <f>VLOOKUP(LEFT(SUBSTITUTE(B55,"Section ",""),3),FUF,3+IF(Units="Metric",0,2),0)</f>
        <v>gal/ton</v>
      </c>
      <c r="E55" s="57"/>
      <c r="F55" s="58"/>
      <c r="G55" s="65"/>
    </row>
    <row r="56" spans="2:7" ht="15" customHeight="1">
      <c r="B56" s="106" t="s">
        <v>29</v>
      </c>
      <c r="C56" s="107"/>
      <c r="D56" s="70">
        <f>VLOOKUP(LEFT(B56,3),FUF,2+IF(Units="Metric",0,2),0)</f>
        <v>0.7</v>
      </c>
      <c r="E56" s="59"/>
      <c r="F56" s="60" t="str">
        <f>REPLACE(VLOOKUP(LEFT(SUBSTITUTE(B56,"Section ",""),3),FUF,3+IF(Units="Metric",0,2),0),1,4,"")</f>
        <v>ton</v>
      </c>
      <c r="G56" s="66">
        <f>MROUND(Adjust_Fuel*BPI_Fuel*E56*D56,Round)</f>
        <v>0</v>
      </c>
    </row>
    <row r="57" spans="2:7" ht="15" customHeight="1">
      <c r="B57" s="106" t="s">
        <v>78</v>
      </c>
      <c r="C57" s="107"/>
      <c r="D57" s="70">
        <f>VLOOKUP(LEFT(B57,3),FUF,2+IF(Units="Metric",0,2),0)</f>
        <v>0.7</v>
      </c>
      <c r="E57" s="61"/>
      <c r="F57" s="62" t="str">
        <f>REPLACE(VLOOKUP(LEFT(SUBSTITUTE(B57,"Section ",""),3),FUF,3+IF(Units="Metric",0,2),0),1,4,"")</f>
        <v>ton</v>
      </c>
      <c r="G57" s="67">
        <f>MROUND(Adjust_Fuel*BPI_Fuel*E57*D57,Round)</f>
        <v>0</v>
      </c>
    </row>
    <row r="58" spans="2:7" ht="15" customHeight="1">
      <c r="B58" s="106" t="s">
        <v>30</v>
      </c>
      <c r="C58" s="107"/>
      <c r="D58" s="70">
        <f>VLOOKUP(LEFT(B58,3),FUF,2+IF(Units="Metric",0,2),0)</f>
        <v>0.7</v>
      </c>
      <c r="E58" s="61"/>
      <c r="F58" s="62" t="str">
        <f>REPLACE(VLOOKUP(LEFT(SUBSTITUTE(B58,"Section ",""),3),FUF,3+IF(Units="Metric",0,2),0),1,4,"")</f>
        <v>ton</v>
      </c>
      <c r="G58" s="67">
        <f>MROUND(Adjust_Fuel*BPI_Fuel*E58*D58,Round)</f>
        <v>0</v>
      </c>
    </row>
    <row r="59" spans="2:7" ht="30" customHeight="1">
      <c r="B59" s="106" t="s">
        <v>79</v>
      </c>
      <c r="C59" s="107"/>
      <c r="D59" s="70">
        <f>VLOOKUP(LEFT(B59,3),FUF,2+IF(Units="Metric",0,2),0)</f>
        <v>0.7</v>
      </c>
      <c r="E59" s="61"/>
      <c r="F59" s="62" t="str">
        <f>REPLACE(VLOOKUP(LEFT(SUBSTITUTE(B59,"Section ",""),3),FUF,3+IF(Units="Metric",0,2),0),1,4,"")</f>
        <v>ton</v>
      </c>
      <c r="G59" s="67">
        <f>MROUND(Adjust_Fuel*BPI_Fuel*E59*D59,Round)</f>
        <v>0</v>
      </c>
    </row>
    <row r="60" spans="2:7" ht="30" customHeight="1" thickBot="1">
      <c r="B60" s="106" t="s">
        <v>80</v>
      </c>
      <c r="C60" s="107"/>
      <c r="D60" s="70">
        <f>VLOOKUP(LEFT(B60,3),FUF,2+IF(Units="Metric",0,2),0)</f>
        <v>0.7</v>
      </c>
      <c r="E60" s="63"/>
      <c r="F60" s="64" t="str">
        <f>REPLACE(VLOOKUP(LEFT(SUBSTITUTE(B60,"Section ",""),3),FUF,3+IF(Units="Metric",0,2),0),1,4,"")</f>
        <v>ton</v>
      </c>
      <c r="G60" s="68">
        <f>MROUND(Adjust_Fuel*BPI_Fuel*E60*D60,Round)</f>
        <v>0</v>
      </c>
    </row>
    <row r="61" spans="2:7" ht="15" customHeight="1">
      <c r="B61" s="104" t="s">
        <v>31</v>
      </c>
      <c r="C61" s="105"/>
      <c r="D61" s="69" t="str">
        <f>VLOOKUP(LEFT(SUBSTITUTE(B61,"Section ",""),3),FUF,3+IF(Units="Metric",0,2),0)</f>
        <v>gal/ton</v>
      </c>
      <c r="E61" s="86"/>
      <c r="F61" s="58"/>
      <c r="G61" s="65"/>
    </row>
    <row r="62" spans="2:7" ht="15" customHeight="1">
      <c r="B62" s="106" t="s">
        <v>32</v>
      </c>
      <c r="C62" s="107"/>
      <c r="D62" s="70">
        <f>VLOOKUP(LEFT(B62,3),FUF,2+IF(Units="Metric",0,2),0)</f>
        <v>0.7</v>
      </c>
      <c r="E62" s="59">
        <v>55500</v>
      </c>
      <c r="F62" s="60" t="str">
        <f>REPLACE(VLOOKUP(LEFT(SUBSTITUTE(B62,"Section ",""),3),FUF,3+IF(Units="Metric",0,2),0),1,4,"")</f>
        <v>ton</v>
      </c>
      <c r="G62" s="66">
        <f>MROUND(Adjust_Fuel*BPI_Fuel*E62*D62,Round)</f>
        <v>19580.400000000001</v>
      </c>
    </row>
    <row r="63" spans="2:7" ht="15" customHeight="1">
      <c r="B63" s="106" t="s">
        <v>33</v>
      </c>
      <c r="C63" s="107"/>
      <c r="D63" s="70">
        <f>VLOOKUP(LEFT(B63,3),FUF,2+IF(Units="Metric",0,2),0)</f>
        <v>0.7</v>
      </c>
      <c r="E63" s="61"/>
      <c r="F63" s="62" t="str">
        <f>REPLACE(VLOOKUP(LEFT(SUBSTITUTE(B63,"Section ",""),3),FUF,3+IF(Units="Metric",0,2),0),1,4,"")</f>
        <v>ton</v>
      </c>
      <c r="G63" s="67">
        <f>MROUND(Adjust_Fuel*BPI_Fuel*E63*D63,Round)</f>
        <v>0</v>
      </c>
    </row>
    <row r="64" spans="2:7" ht="15" customHeight="1" thickBot="1">
      <c r="B64" s="110" t="s">
        <v>34</v>
      </c>
      <c r="C64" s="111"/>
      <c r="D64" s="85">
        <f>VLOOKUP(LEFT(B64,3),FUF,2+IF(Units="Metric",0,2),0)</f>
        <v>0.7</v>
      </c>
      <c r="E64" s="63"/>
      <c r="F64" s="64" t="str">
        <f>REPLACE(VLOOKUP(LEFT(SUBSTITUTE(B64,"Section ",""),3),FUF,3+IF(Units="Metric",0,2),0),1,4,"")</f>
        <v>ton</v>
      </c>
      <c r="G64" s="68">
        <f>MROUND(Adjust_Fuel*BPI_Fuel*E64*D64,Round)</f>
        <v>0</v>
      </c>
    </row>
    <row r="65" spans="2:7" ht="15" customHeight="1">
      <c r="B65" s="116" t="str">
        <f>B30</f>
        <v>Pay Items</v>
      </c>
      <c r="C65" s="117"/>
      <c r="D65" s="120" t="str">
        <f>D29&amp;IF(Units="Metric"," (2)","")</f>
        <v>FUF</v>
      </c>
      <c r="E65" s="51" t="str">
        <f>E31</f>
        <v>Estimated Quantity</v>
      </c>
      <c r="F65" s="54"/>
      <c r="G65" s="36" t="str">
        <f>G31</f>
        <v>Contractor</v>
      </c>
    </row>
    <row r="66" spans="2:7" ht="15" customHeight="1" thickBot="1">
      <c r="B66" s="118"/>
      <c r="C66" s="119"/>
      <c r="D66" s="121"/>
      <c r="E66" s="52" t="str">
        <f>E32</f>
        <v>Q</v>
      </c>
      <c r="F66" s="55"/>
      <c r="G66" s="38" t="str">
        <f>G32</f>
        <v>Payment</v>
      </c>
    </row>
    <row r="67" spans="2:7" ht="15" customHeight="1">
      <c r="B67" s="104" t="s">
        <v>35</v>
      </c>
      <c r="C67" s="105"/>
      <c r="D67" s="69" t="str">
        <f>VLOOKUP(LEFT(SUBSTITUTE(B67,"Section ",""),3),FUF,3+IF(Units="Metric",0,2),0)</f>
        <v>gal/sqyd</v>
      </c>
      <c r="E67" s="86"/>
      <c r="F67" s="58"/>
      <c r="G67" s="65"/>
    </row>
    <row r="68" spans="2:7" ht="15" customHeight="1">
      <c r="B68" s="106" t="s">
        <v>36</v>
      </c>
      <c r="C68" s="107"/>
      <c r="D68" s="70">
        <f>VLOOKUP(LEFT(B68,3),FUF,2+IF(Units="Metric",0,2),0)</f>
        <v>0.1</v>
      </c>
      <c r="E68" s="59">
        <v>205000</v>
      </c>
      <c r="F68" s="60" t="str">
        <f>REPLACE(VLOOKUP(LEFT(SUBSTITUTE(B68,"Section ",""),3),FUF,3+IF(Units="Metric",0,2),0),1,4,"")</f>
        <v>sqyd</v>
      </c>
      <c r="G68" s="66">
        <f>MROUND(Adjust_Fuel*BPI_Fuel*E68*D68,Round)</f>
        <v>10332</v>
      </c>
    </row>
    <row r="69" spans="2:7" ht="15" customHeight="1">
      <c r="B69" s="106" t="s">
        <v>37</v>
      </c>
      <c r="C69" s="107"/>
      <c r="D69" s="70">
        <f>VLOOKUP(LEFT(B69,3),FUF,2+IF(Units="Metric",0,2),0)</f>
        <v>0.1</v>
      </c>
      <c r="E69" s="61"/>
      <c r="F69" s="62" t="str">
        <f>REPLACE(VLOOKUP(LEFT(SUBSTITUTE(B69,"Section ",""),3),FUF,3+IF(Units="Metric",0,2),0),1,4,"")</f>
        <v>sqyd</v>
      </c>
      <c r="G69" s="67">
        <f>MROUND(Adjust_Fuel*BPI_Fuel*E69*D69,Round)</f>
        <v>0</v>
      </c>
    </row>
    <row r="70" spans="2:7" ht="15" customHeight="1" thickBot="1">
      <c r="B70" s="110" t="s">
        <v>38</v>
      </c>
      <c r="C70" s="111"/>
      <c r="D70" s="85">
        <f>VLOOKUP(LEFT(B70,3),FUF,2+IF(Units="Metric",0,2),0)</f>
        <v>0.1</v>
      </c>
      <c r="E70" s="63"/>
      <c r="F70" s="64" t="str">
        <f>REPLACE(VLOOKUP(LEFT(SUBSTITUTE(B70,"Section ",""),3),FUF,3+IF(Units="Metric",0,2),0),1,4,"")</f>
        <v>sqyd</v>
      </c>
      <c r="G70" s="68">
        <f>MROUND(Adjust_Fuel*BPI_Fuel*E70*D70,Round)</f>
        <v>0</v>
      </c>
    </row>
    <row r="71" spans="2:7" ht="15" customHeight="1">
      <c r="B71" s="104" t="s">
        <v>39</v>
      </c>
      <c r="C71" s="105"/>
      <c r="D71" s="69" t="str">
        <f>VLOOKUP(LEFT(SUBSTITUTE(B71,"Section ",""),3),FUF,3+IF(Units="Metric",0,2),0)</f>
        <v>gal/ton</v>
      </c>
      <c r="E71" s="86"/>
      <c r="F71" s="58"/>
      <c r="G71" s="65"/>
    </row>
    <row r="72" spans="2:7" ht="15" customHeight="1">
      <c r="B72" s="106" t="s">
        <v>3</v>
      </c>
      <c r="C72" s="107"/>
      <c r="D72" s="70">
        <f>VLOOKUP(LEFT(B72,3),FUF,2+IF(Units="Metric",0,2),0)</f>
        <v>2.4</v>
      </c>
      <c r="E72" s="59"/>
      <c r="F72" s="60" t="str">
        <f>REPLACE(VLOOKUP(LEFT(SUBSTITUTE(B72,"Section ",""),3),FUF,3+IF(Units="Metric",0,2),0),1,4,"")</f>
        <v>ton</v>
      </c>
      <c r="G72" s="66">
        <f>MROUND(Adjust_Fuel*BPI_Fuel*E72*D72,Round)</f>
        <v>0</v>
      </c>
    </row>
    <row r="73" spans="2:7" ht="15" customHeight="1" thickBot="1">
      <c r="B73" s="106" t="s">
        <v>40</v>
      </c>
      <c r="C73" s="107"/>
      <c r="D73" s="70">
        <f>VLOOKUP(LEFT(B73,3),FUF,2+IF(Units="Metric",0,2),0)</f>
        <v>2.4</v>
      </c>
      <c r="E73" s="63"/>
      <c r="F73" s="64" t="str">
        <f>REPLACE(VLOOKUP(LEFT(SUBSTITUTE(B73,"Section ",""),3),FUF,3+IF(Units="Metric",0,2),0),1,4,"")</f>
        <v>ton</v>
      </c>
      <c r="G73" s="68">
        <f>MROUND(Adjust_Fuel*BPI_Fuel*E73*D73,Round)</f>
        <v>0</v>
      </c>
    </row>
    <row r="74" spans="2:7" ht="30" customHeight="1">
      <c r="B74" s="104" t="s">
        <v>41</v>
      </c>
      <c r="C74" s="105"/>
      <c r="D74" s="69" t="str">
        <f>VLOOKUP(LEFT(SUBSTITUTE(B74,"Section ",""),3),FUF,3+IF(Units="Metric",0,2),0)</f>
        <v>gal/ton</v>
      </c>
      <c r="E74" s="86"/>
      <c r="F74" s="58"/>
      <c r="G74" s="65"/>
    </row>
    <row r="75" spans="2:7" ht="30" customHeight="1">
      <c r="B75" s="106" t="s">
        <v>42</v>
      </c>
      <c r="C75" s="107"/>
      <c r="D75" s="70">
        <f>VLOOKUP(LEFT(B75,3),FUF,2+IF(Units="Metric",0,2),0)</f>
        <v>2.4</v>
      </c>
      <c r="E75" s="59"/>
      <c r="F75" s="60" t="str">
        <f>REPLACE(VLOOKUP(LEFT(SUBSTITUTE(B75,"Section ",""),3),FUF,3+IF(Units="Metric",0,2),0),1,4,"")</f>
        <v>ton</v>
      </c>
      <c r="G75" s="66">
        <f>MROUND(Adjust_Fuel*BPI_Fuel*E75*D75,Round)</f>
        <v>0</v>
      </c>
    </row>
    <row r="76" spans="2:7" ht="30" customHeight="1" thickBot="1">
      <c r="B76" s="106" t="s">
        <v>43</v>
      </c>
      <c r="C76" s="107"/>
      <c r="D76" s="70">
        <f>VLOOKUP(LEFT(B76,3),FUF,2+IF(Units="Metric",0,2),0)</f>
        <v>2.4</v>
      </c>
      <c r="E76" s="63"/>
      <c r="F76" s="64" t="str">
        <f>REPLACE(VLOOKUP(LEFT(SUBSTITUTE(B76,"Section ",""),3),FUF,3+IF(Units="Metric",0,2),0),1,4,"")</f>
        <v>ton</v>
      </c>
      <c r="G76" s="68">
        <f>MROUND(Adjust_Fuel*BPI_Fuel*E76*D76,Round)</f>
        <v>0</v>
      </c>
    </row>
    <row r="77" spans="2:7" ht="16.5" customHeight="1">
      <c r="B77" s="104" t="s">
        <v>44</v>
      </c>
      <c r="C77" s="105"/>
      <c r="D77" s="69" t="str">
        <f>VLOOKUP(LEFT(SUBSTITUTE(B77,"Section ",""),3),FUF,3+IF(Units="Metric",0,2),0)</f>
        <v>gal/ton</v>
      </c>
      <c r="E77" s="86"/>
      <c r="F77" s="58"/>
      <c r="G77" s="65"/>
    </row>
    <row r="78" spans="2:7" ht="15" customHeight="1">
      <c r="B78" s="106" t="s">
        <v>45</v>
      </c>
      <c r="C78" s="107"/>
      <c r="D78" s="70">
        <f>VLOOKUP(LEFT(B78,3),FUF,2+IF(Units="Metric",0,2),0)</f>
        <v>2.4</v>
      </c>
      <c r="E78" s="59"/>
      <c r="F78" s="60" t="str">
        <f>REPLACE(VLOOKUP(LEFT(SUBSTITUTE(B78,"Section ",""),3),FUF,3+IF(Units="Metric",0,2),0),1,4,"")</f>
        <v>ton</v>
      </c>
      <c r="G78" s="66">
        <f>MROUND(Adjust_Fuel*BPI_Fuel*E78*D78,Round)</f>
        <v>0</v>
      </c>
    </row>
    <row r="79" spans="2:7" ht="30" customHeight="1" thickBot="1">
      <c r="B79" s="106" t="s">
        <v>46</v>
      </c>
      <c r="C79" s="107"/>
      <c r="D79" s="70">
        <f>VLOOKUP(LEFT(B79,3),FUF,2+IF(Units="Metric",0,2),0)</f>
        <v>2.4</v>
      </c>
      <c r="E79" s="63"/>
      <c r="F79" s="64" t="str">
        <f>REPLACE(VLOOKUP(LEFT(SUBSTITUTE(B79,"Section ",""),3),FUF,3+IF(Units="Metric",0,2),0),1,4,"")</f>
        <v>ton</v>
      </c>
      <c r="G79" s="68">
        <f>MROUND(Adjust_Fuel*BPI_Fuel*E79*D79,Round)</f>
        <v>0</v>
      </c>
    </row>
    <row r="80" spans="2:7" ht="15" customHeight="1">
      <c r="B80" s="104" t="s">
        <v>47</v>
      </c>
      <c r="C80" s="105"/>
      <c r="D80" s="69" t="str">
        <f>VLOOKUP(LEFT(SUBSTITUTE(B80,"Section ",""),3),FUF,3+IF(Units="Metric",0,2),0)</f>
        <v>gal/ton</v>
      </c>
      <c r="E80" s="86"/>
      <c r="F80" s="58"/>
      <c r="G80" s="65"/>
    </row>
    <row r="81" spans="2:7" ht="15" customHeight="1" thickBot="1">
      <c r="B81" s="106" t="s">
        <v>48</v>
      </c>
      <c r="C81" s="107"/>
      <c r="D81" s="70">
        <f>VLOOKUP(LEFT(B81,3),FUF,2+IF(Units="Metric",0,2),0)</f>
        <v>2.4</v>
      </c>
      <c r="E81" s="87"/>
      <c r="F81" s="88" t="str">
        <f>REPLACE(VLOOKUP(LEFT(SUBSTITUTE(B81,"Section ",""),3),FUF,3+IF(Units="Metric",0,2),0),1,4,"")</f>
        <v>ton</v>
      </c>
      <c r="G81" s="89">
        <f>MROUND(Adjust_Fuel*BPI_Fuel*E81*D81,Round)</f>
        <v>0</v>
      </c>
    </row>
    <row r="82" spans="2:7" ht="15" customHeight="1">
      <c r="B82" s="104" t="s">
        <v>49</v>
      </c>
      <c r="C82" s="105"/>
      <c r="D82" s="69" t="str">
        <f>VLOOKUP(LEFT(SUBSTITUTE(B82,"Section ",""),3),FUF,3+IF(Units="Metric",0,2),0)</f>
        <v>gal/ton</v>
      </c>
      <c r="E82" s="86"/>
      <c r="F82" s="58"/>
      <c r="G82" s="65"/>
    </row>
    <row r="83" spans="2:7" ht="15" customHeight="1">
      <c r="B83" s="106" t="s">
        <v>50</v>
      </c>
      <c r="C83" s="107"/>
      <c r="D83" s="70">
        <f>VLOOKUP(LEFT(B83,3),FUF,2+IF(Units="Metric",0,2),0)</f>
        <v>0.7</v>
      </c>
      <c r="E83" s="59"/>
      <c r="F83" s="60" t="str">
        <f>REPLACE(VLOOKUP(LEFT(SUBSTITUTE(B83,"Section ",""),3),FUF,3+IF(Units="Metric",0,2),0),1,4,"")</f>
        <v>ton</v>
      </c>
      <c r="G83" s="66">
        <f>MROUND(Adjust_Fuel*BPI_Fuel*E83*D83,Round)</f>
        <v>0</v>
      </c>
    </row>
    <row r="84" spans="2:7" ht="15" customHeight="1" thickBot="1">
      <c r="B84" s="106" t="s">
        <v>51</v>
      </c>
      <c r="C84" s="107"/>
      <c r="D84" s="70">
        <f>VLOOKUP(LEFT(B84,3),FUF,2+IF(Units="Metric",0,2),0)</f>
        <v>0.7</v>
      </c>
      <c r="E84" s="63"/>
      <c r="F84" s="64" t="str">
        <f>REPLACE(VLOOKUP(LEFT(SUBSTITUTE(B84,"Section ",""),3),FUF,3+IF(Units="Metric",0,2),0),1,4,"")</f>
        <v>ton</v>
      </c>
      <c r="G84" s="68">
        <f>MROUND(Adjust_Fuel*BPI_Fuel*E84*D84,Round)</f>
        <v>0</v>
      </c>
    </row>
    <row r="85" spans="2:7" ht="15" customHeight="1">
      <c r="B85" s="104" t="s">
        <v>52</v>
      </c>
      <c r="C85" s="105"/>
      <c r="D85" s="69" t="str">
        <f>VLOOKUP(LEFT(SUBSTITUTE(B85,"Section ",""),3),FUF,3+IF(Units="Metric",0,2),0)</f>
        <v>gal/sqyd</v>
      </c>
      <c r="E85" s="86"/>
      <c r="F85" s="58"/>
      <c r="G85" s="65"/>
    </row>
    <row r="86" spans="2:7" ht="15" customHeight="1" thickBot="1">
      <c r="B86" s="106" t="s">
        <v>53</v>
      </c>
      <c r="C86" s="107"/>
      <c r="D86" s="70">
        <f>VLOOKUP(LEFT(B86,3),FUF,2+IF(Units="Metric",0,2),0)</f>
        <v>0.15</v>
      </c>
      <c r="E86" s="87"/>
      <c r="F86" s="88" t="str">
        <f>REPLACE(VLOOKUP(LEFT(SUBSTITUTE(B86,"Section ",""),3),FUF,3+IF(Units="Metric",0,2),0),1,4,"")</f>
        <v>sqyd</v>
      </c>
      <c r="G86" s="89">
        <f>MROUND(Adjust_Fuel*BPI_Fuel*E86*D86,Round)</f>
        <v>0</v>
      </c>
    </row>
    <row r="87" spans="2:7" ht="30" customHeight="1">
      <c r="B87" s="104" t="s">
        <v>54</v>
      </c>
      <c r="C87" s="105"/>
      <c r="D87" s="69" t="str">
        <f>VLOOKUP(LEFT(SUBSTITUTE(B87,"Section ",""),3),FUF,3+IF(Units="Metric",0,2),0)</f>
        <v>gal/sqyd</v>
      </c>
      <c r="E87" s="86"/>
      <c r="F87" s="58"/>
      <c r="G87" s="65"/>
    </row>
    <row r="88" spans="2:7" ht="15" customHeight="1" thickBot="1">
      <c r="B88" s="106" t="s">
        <v>55</v>
      </c>
      <c r="C88" s="107"/>
      <c r="D88" s="70">
        <f>VLOOKUP(LEFT(B88,3),FUF,2+IF(Units="Metric",0,2),0)</f>
        <v>0.3</v>
      </c>
      <c r="E88" s="87"/>
      <c r="F88" s="88" t="str">
        <f>REPLACE(VLOOKUP(LEFT(SUBSTITUTE(B88,"Section ",""),3),FUF,3+IF(Units="Metric",0,2),0),1,4,"")</f>
        <v>sqyd</v>
      </c>
      <c r="G88" s="89">
        <f>MROUND(Adjust_Fuel*BPI_Fuel*E88*D88,Round)</f>
        <v>0</v>
      </c>
    </row>
    <row r="89" spans="2:7" ht="15" customHeight="1">
      <c r="B89" s="104" t="s">
        <v>56</v>
      </c>
      <c r="C89" s="105"/>
      <c r="D89" s="69" t="str">
        <f>VLOOKUP(LEFT(SUBSTITUTE(B89,"Section ",""),3),FUF,3+IF(Units="Metric",0,2),0)</f>
        <v>gal/sqyd</v>
      </c>
      <c r="E89" s="86"/>
      <c r="F89" s="58"/>
      <c r="G89" s="65"/>
    </row>
    <row r="90" spans="2:7" ht="15" customHeight="1">
      <c r="B90" s="106" t="s">
        <v>57</v>
      </c>
      <c r="C90" s="107"/>
      <c r="D90" s="70">
        <f>VLOOKUP(LEFT(B90,3),FUF,2+IF(Units="Metric",0,2),0)</f>
        <v>0.6</v>
      </c>
      <c r="E90" s="59"/>
      <c r="F90" s="60" t="str">
        <f>REPLACE(VLOOKUP(LEFT(SUBSTITUTE(B90,"Section ",""),3),FUF,3+IF(Units="Metric",0,2),0),1,4,"")</f>
        <v>sqyd</v>
      </c>
      <c r="G90" s="66">
        <f>MROUND(Adjust_Fuel*BPI_Fuel*E90*D90,Round)</f>
        <v>0</v>
      </c>
    </row>
    <row r="91" spans="2:7" ht="15" customHeight="1" thickBot="1">
      <c r="B91" s="106" t="s">
        <v>58</v>
      </c>
      <c r="C91" s="107"/>
      <c r="D91" s="70">
        <f>VLOOKUP(LEFT(B91,3),FUF,2+IF(Units="Metric",0,2),0)</f>
        <v>0.6</v>
      </c>
      <c r="E91" s="71"/>
      <c r="F91" s="72" t="str">
        <f>REPLACE(VLOOKUP(LEFT(SUBSTITUTE(B91,"Section ",""),3),FUF,3+IF(Units="Metric",0,2),0),1,4,"")</f>
        <v>sqyd</v>
      </c>
      <c r="G91" s="73">
        <f>MROUND(Adjust_Fuel*BPI_Fuel*E91*D91,Round)</f>
        <v>0</v>
      </c>
    </row>
    <row r="92" spans="2:7" ht="30" customHeight="1" thickTop="1" thickBot="1">
      <c r="B92" s="83" t="s">
        <v>59</v>
      </c>
      <c r="C92" s="75"/>
      <c r="D92" s="75"/>
      <c r="E92" s="76"/>
      <c r="F92" s="81" t="s">
        <v>111</v>
      </c>
      <c r="G92" s="82">
        <f>SUM(G34:G91)</f>
        <v>48207.600000000006</v>
      </c>
    </row>
    <row r="93" spans="2:7" ht="15" customHeight="1" thickTop="1">
      <c r="B93" s="84" t="str">
        <f>IF(Units="Metric","(2)  Fuel Usage factor based on U.S. gallons.","")</f>
        <v/>
      </c>
      <c r="C93" s="74"/>
    </row>
    <row r="94" spans="2:7">
      <c r="B94" s="5"/>
      <c r="D94" s="6"/>
      <c r="E94" s="5"/>
      <c r="F94" s="5"/>
      <c r="G94" s="5"/>
    </row>
    <row r="95" spans="2:7" ht="15.75">
      <c r="B95" s="5"/>
      <c r="E95" s="77" t="s">
        <v>112</v>
      </c>
      <c r="F95" s="108">
        <f>SUM(G23,G92)</f>
        <v>200000</v>
      </c>
      <c r="G95" s="109"/>
    </row>
    <row r="96" spans="2:7">
      <c r="B96" s="5"/>
      <c r="D96" s="9" t="s">
        <v>74</v>
      </c>
      <c r="E96" s="5"/>
      <c r="F96" s="5"/>
      <c r="G96" s="5"/>
    </row>
  </sheetData>
  <sheetProtection sheet="1" objects="1" scenarios="1"/>
  <mergeCells count="63">
    <mergeCell ref="B91:C91"/>
    <mergeCell ref="F95:G95"/>
    <mergeCell ref="B83:C83"/>
    <mergeCell ref="B84:C84"/>
    <mergeCell ref="B86:C86"/>
    <mergeCell ref="B88:C88"/>
    <mergeCell ref="B85:C85"/>
    <mergeCell ref="B87:C87"/>
    <mergeCell ref="B89:C89"/>
    <mergeCell ref="B90:C90"/>
    <mergeCell ref="B70:C70"/>
    <mergeCell ref="B72:C72"/>
    <mergeCell ref="B73:C73"/>
    <mergeCell ref="B75:C75"/>
    <mergeCell ref="B54:C54"/>
    <mergeCell ref="B56:C56"/>
    <mergeCell ref="B74:C74"/>
    <mergeCell ref="B55:C55"/>
    <mergeCell ref="B61:C61"/>
    <mergeCell ref="B67:C67"/>
    <mergeCell ref="B71:C71"/>
    <mergeCell ref="B58:C58"/>
    <mergeCell ref="B68:C68"/>
    <mergeCell ref="B69:C69"/>
    <mergeCell ref="B80:C80"/>
    <mergeCell ref="B82:C82"/>
    <mergeCell ref="B79:C79"/>
    <mergeCell ref="B81:C81"/>
    <mergeCell ref="B76:C76"/>
    <mergeCell ref="B78:C78"/>
    <mergeCell ref="B77:C77"/>
    <mergeCell ref="B63:C63"/>
    <mergeCell ref="B64:C64"/>
    <mergeCell ref="B42:C42"/>
    <mergeCell ref="B43:C43"/>
    <mergeCell ref="B52:C52"/>
    <mergeCell ref="B51:C51"/>
    <mergeCell ref="B48:C48"/>
    <mergeCell ref="B49:C49"/>
    <mergeCell ref="B50:C50"/>
    <mergeCell ref="B44:C44"/>
    <mergeCell ref="B59:C59"/>
    <mergeCell ref="B57:C57"/>
    <mergeCell ref="B60:C60"/>
    <mergeCell ref="B62:C62"/>
    <mergeCell ref="B47:C47"/>
    <mergeCell ref="B53:C53"/>
    <mergeCell ref="F6:G6"/>
    <mergeCell ref="B2:G2"/>
    <mergeCell ref="B65:C66"/>
    <mergeCell ref="D65:D66"/>
    <mergeCell ref="B30:C31"/>
    <mergeCell ref="B33:C33"/>
    <mergeCell ref="B34:C34"/>
    <mergeCell ref="B35:C35"/>
    <mergeCell ref="B36:C36"/>
    <mergeCell ref="B37:C37"/>
    <mergeCell ref="B45:C45"/>
    <mergeCell ref="B46:C46"/>
    <mergeCell ref="B38:C38"/>
    <mergeCell ref="B39:C39"/>
    <mergeCell ref="B40:C40"/>
    <mergeCell ref="B41:C41"/>
  </mergeCells>
  <phoneticPr fontId="3" type="noConversion"/>
  <conditionalFormatting sqref="F34:G42 F44:G51 F53:G54 F56:G60 F81:G81 F86:G86 F88:G88 F16:H22 F68:G70 F72:G73 F75:G76 F78:G79 F83:G84 F90:G91 F62:G64">
    <cfRule type="expression" dxfId="1" priority="1" stopIfTrue="1">
      <formula>ISBLANK(F16)</formula>
    </cfRule>
  </conditionalFormatting>
  <conditionalFormatting sqref="E16:E22">
    <cfRule type="cellIs" dxfId="0" priority="2" stopIfTrue="1" operator="notEqual">
      <formula>0.06</formula>
    </cfRule>
  </conditionalFormatting>
  <dataValidations count="4">
    <dataValidation type="list" allowBlank="1" showInputMessage="1" showErrorMessage="1" promptTitle="Project Units" prompt="Select either Metric or US Customary units" sqref="F6:G6">
      <formula1>"Metric, US Customary"</formula1>
    </dataValidation>
    <dataValidation allowBlank="1" showInputMessage="1" showErrorMessage="1" promptTitle="Insert Project Number" prompt="Project Number will appear in the heading on each sheet" sqref="B2:G2"/>
    <dataValidation allowBlank="1" showInputMessage="1" showErrorMessage="1" promptTitle="Insert BPI" prompt="Insert Asphalt Cement Base Price Index (BPI)" sqref="F11"/>
    <dataValidation allowBlank="1" showInputMessage="1" showErrorMessage="1" promptTitle="Insert BPI" prompt="Insert Fuel Base Price Index (BPI)" sqref="F27"/>
  </dataValidations>
  <hyperlinks>
    <hyperlink ref="B5" r:id="rId1"/>
  </hyperlinks>
  <pageMargins left="0.75" right="0.5" top="0.75" bottom="0.75" header="0.5" footer="0.5"/>
  <pageSetup orientation="portrait" r:id="rId2"/>
  <headerFooter alignWithMargins="0">
    <oddFooter>&amp;CPage &amp;P of &amp;N</oddFooter>
  </headerFooter>
  <rowBreaks count="2" manualBreakCount="2">
    <brk id="24" max="16383" man="1"/>
    <brk id="6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Calculation</vt:lpstr>
      <vt:lpstr>Values</vt:lpstr>
      <vt:lpstr>Sample</vt:lpstr>
      <vt:lpstr>Sample!Adjust_Asphalt</vt:lpstr>
      <vt:lpstr>Adjust_Asphalt</vt:lpstr>
      <vt:lpstr>Sample!Adjust_Fuel</vt:lpstr>
      <vt:lpstr>Adjust_Fuel</vt:lpstr>
      <vt:lpstr>Sample!BPI_Asphalt</vt:lpstr>
      <vt:lpstr>BPI_Asphalt</vt:lpstr>
      <vt:lpstr>Sample!BPI_Fuel</vt:lpstr>
      <vt:lpstr>BPI_Fuel</vt:lpstr>
      <vt:lpstr>Estimating</vt:lpstr>
      <vt:lpstr>FUF</vt:lpstr>
      <vt:lpstr>No_payment</vt:lpstr>
      <vt:lpstr>Calculation!Print_Area</vt:lpstr>
      <vt:lpstr>Sample!Print_Area</vt:lpstr>
      <vt:lpstr>Calculation!Print_Titles</vt:lpstr>
      <vt:lpstr>Sample!Print_Titles</vt:lpstr>
      <vt:lpstr>Round</vt:lpstr>
      <vt:lpstr>Sample!Units</vt:lpstr>
      <vt:lpstr>Units</vt:lpstr>
    </vt:vector>
  </TitlesOfParts>
  <Company>Federal Highway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RJMeadows</dc:creator>
  <cp:lastModifiedBy>Stephen Chapman</cp:lastModifiedBy>
  <cp:lastPrinted>2008-04-22T14:16:16Z</cp:lastPrinted>
  <dcterms:created xsi:type="dcterms:W3CDTF">2007-04-12T21:56:38Z</dcterms:created>
  <dcterms:modified xsi:type="dcterms:W3CDTF">2012-06-06T18:34:53Z</dcterms:modified>
</cp:coreProperties>
</file>